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li Kleih (June 2016)\IPCI Project\Ghana GASIP\Final documents - March 2017\"/>
    </mc:Choice>
  </mc:AlternateContent>
  <bookViews>
    <workbookView xWindow="0" yWindow="0" windowWidth="20160" windowHeight="8745" tabRatio="830"/>
  </bookViews>
  <sheets>
    <sheet name="Start" sheetId="15" r:id="rId1"/>
    <sheet name="Overview" sheetId="1" r:id="rId2"/>
    <sheet name="VC Map" sheetId="13" r:id="rId3"/>
    <sheet name="Overall Sums" sheetId="12" r:id="rId4"/>
    <sheet name="Overall Graph" sheetId="14" r:id="rId5"/>
    <sheet name="Sum Production" sheetId="3" r:id="rId6"/>
    <sheet name="Sum Processing" sheetId="2" r:id="rId7"/>
    <sheet name="Sum Trade" sheetId="4" r:id="rId8"/>
    <sheet name="Production" sheetId="5" r:id="rId9"/>
    <sheet name="Proc Gari" sheetId="7" r:id="rId10"/>
    <sheet name="Trade WS" sheetId="11" r:id="rId11"/>
    <sheet name="Break-down of IGS and Deprec" sheetId="9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4" l="1"/>
  <c r="F3" i="14"/>
  <c r="B5" i="14"/>
  <c r="F5" i="14"/>
  <c r="H5" i="14"/>
  <c r="G49" i="5" l="1"/>
  <c r="B25" i="1" l="1"/>
  <c r="J25" i="1" l="1"/>
  <c r="D61" i="5"/>
  <c r="B61" i="5"/>
  <c r="I47" i="5" l="1"/>
  <c r="J47" i="5" s="1"/>
  <c r="I28" i="5"/>
  <c r="J28" i="5"/>
  <c r="J46" i="5"/>
  <c r="K16" i="9" l="1"/>
  <c r="J12" i="9"/>
  <c r="I16" i="9"/>
  <c r="I11" i="9"/>
  <c r="G11" i="9"/>
  <c r="F11" i="9"/>
  <c r="E11" i="9"/>
  <c r="J10" i="9"/>
  <c r="I10" i="9"/>
  <c r="E10" i="9"/>
  <c r="F10" i="9"/>
  <c r="F9" i="9"/>
  <c r="I9" i="9" l="1"/>
  <c r="H8" i="9"/>
  <c r="E8" i="9"/>
  <c r="G8" i="9" l="1"/>
  <c r="F7" i="9"/>
  <c r="H47" i="5"/>
  <c r="H46" i="5"/>
  <c r="K13" i="9"/>
  <c r="F13" i="9"/>
  <c r="H26" i="5"/>
  <c r="B57" i="7" l="1"/>
  <c r="M52" i="9"/>
  <c r="D41" i="11" l="1"/>
  <c r="B41" i="11"/>
  <c r="D57" i="7"/>
  <c r="E3" i="5" l="1"/>
  <c r="E61" i="5" s="1"/>
  <c r="F3" i="4"/>
  <c r="F34" i="4" s="1"/>
  <c r="B3" i="4"/>
  <c r="B34" i="4" s="1"/>
  <c r="F3" i="2" l="1"/>
  <c r="I3" i="2"/>
  <c r="I35" i="2" s="1"/>
  <c r="B3" i="2"/>
  <c r="B35" i="2" s="1"/>
  <c r="E12" i="12"/>
  <c r="E5" i="14" s="1"/>
  <c r="H12" i="12"/>
  <c r="F3" i="3"/>
  <c r="F34" i="3" s="1"/>
  <c r="B3" i="3"/>
  <c r="B34" i="3" s="1"/>
  <c r="F12" i="12" l="1"/>
  <c r="F35" i="2"/>
  <c r="H2" i="13" l="1"/>
  <c r="D2" i="13"/>
  <c r="G74" i="11"/>
  <c r="J74" i="11" s="1"/>
  <c r="G52" i="11"/>
  <c r="G76" i="7"/>
  <c r="L74" i="11"/>
  <c r="I73" i="11"/>
  <c r="J73" i="11"/>
  <c r="K73" i="11"/>
  <c r="L73" i="11"/>
  <c r="M73" i="11"/>
  <c r="N73" i="11"/>
  <c r="H73" i="11"/>
  <c r="G75" i="11"/>
  <c r="G54" i="11"/>
  <c r="H54" i="11" s="1"/>
  <c r="G53" i="11"/>
  <c r="H53" i="11" s="1"/>
  <c r="G70" i="11"/>
  <c r="I70" i="11" s="1"/>
  <c r="G68" i="11"/>
  <c r="G67" i="11"/>
  <c r="E64" i="11"/>
  <c r="D64" i="11"/>
  <c r="C64" i="11"/>
  <c r="B64" i="11"/>
  <c r="H38" i="11"/>
  <c r="H31" i="11"/>
  <c r="H27" i="11"/>
  <c r="H25" i="11"/>
  <c r="H17" i="11"/>
  <c r="G69" i="11" s="1"/>
  <c r="H14" i="11"/>
  <c r="H19" i="11" s="1"/>
  <c r="H11" i="11"/>
  <c r="G49" i="11"/>
  <c r="G47" i="11"/>
  <c r="G46" i="11"/>
  <c r="E2" i="11"/>
  <c r="E41" i="11" s="1"/>
  <c r="N53" i="11" l="1"/>
  <c r="K53" i="11"/>
  <c r="M74" i="11"/>
  <c r="I74" i="11"/>
  <c r="J53" i="11"/>
  <c r="H74" i="11"/>
  <c r="M54" i="11"/>
  <c r="H29" i="11"/>
  <c r="H33" i="11" s="1"/>
  <c r="H39" i="11" s="1"/>
  <c r="K54" i="11"/>
  <c r="L70" i="11"/>
  <c r="K74" i="11"/>
  <c r="O54" i="11"/>
  <c r="J54" i="11"/>
  <c r="H70" i="11"/>
  <c r="N74" i="11"/>
  <c r="N54" i="11"/>
  <c r="I54" i="11"/>
  <c r="I69" i="11"/>
  <c r="M69" i="11"/>
  <c r="J69" i="11"/>
  <c r="K69" i="11"/>
  <c r="H75" i="11"/>
  <c r="L75" i="11"/>
  <c r="L76" i="11" s="1"/>
  <c r="I75" i="11"/>
  <c r="I76" i="11" s="1"/>
  <c r="M75" i="11"/>
  <c r="J75" i="11"/>
  <c r="J76" i="11" s="1"/>
  <c r="N75" i="11"/>
  <c r="H69" i="11"/>
  <c r="O75" i="11"/>
  <c r="L69" i="11"/>
  <c r="K75" i="11"/>
  <c r="O70" i="11"/>
  <c r="K70" i="11"/>
  <c r="N70" i="11"/>
  <c r="J70" i="11"/>
  <c r="M53" i="11"/>
  <c r="I53" i="11"/>
  <c r="M70" i="11"/>
  <c r="L54" i="11"/>
  <c r="L53" i="11"/>
  <c r="C9" i="4"/>
  <c r="B9" i="4"/>
  <c r="B40" i="4" s="1"/>
  <c r="N76" i="11"/>
  <c r="G76" i="11"/>
  <c r="G71" i="11"/>
  <c r="K76" i="11"/>
  <c r="G55" i="11"/>
  <c r="I52" i="11"/>
  <c r="J52" i="11"/>
  <c r="K52" i="11"/>
  <c r="L52" i="11"/>
  <c r="M52" i="11"/>
  <c r="N52" i="11"/>
  <c r="H52" i="11"/>
  <c r="H55" i="11" s="1"/>
  <c r="J48" i="11"/>
  <c r="I49" i="11"/>
  <c r="J49" i="11"/>
  <c r="K49" i="11"/>
  <c r="L49" i="11"/>
  <c r="M49" i="11"/>
  <c r="N49" i="11"/>
  <c r="O49" i="11"/>
  <c r="H49" i="11"/>
  <c r="E43" i="11"/>
  <c r="D43" i="11"/>
  <c r="C43" i="11"/>
  <c r="B43" i="11"/>
  <c r="G38" i="11"/>
  <c r="G31" i="11"/>
  <c r="G27" i="11"/>
  <c r="G25" i="11"/>
  <c r="G17" i="11"/>
  <c r="G48" i="11" s="1"/>
  <c r="G50" i="11" s="1"/>
  <c r="G14" i="11"/>
  <c r="C8" i="4" s="1"/>
  <c r="G11" i="11"/>
  <c r="M76" i="11" l="1"/>
  <c r="N55" i="11"/>
  <c r="J55" i="11"/>
  <c r="K55" i="11"/>
  <c r="K48" i="11"/>
  <c r="L55" i="11"/>
  <c r="C39" i="4"/>
  <c r="C40" i="4"/>
  <c r="B8" i="4"/>
  <c r="B39" i="4" s="1"/>
  <c r="H76" i="11"/>
  <c r="M48" i="11"/>
  <c r="I48" i="11"/>
  <c r="H48" i="11"/>
  <c r="L48" i="11"/>
  <c r="M55" i="11"/>
  <c r="I55" i="11"/>
  <c r="G19" i="11"/>
  <c r="G33" i="11" s="1"/>
  <c r="G29" i="11"/>
  <c r="G39" i="11" l="1"/>
  <c r="C11" i="2" l="1"/>
  <c r="C43" i="2" s="1"/>
  <c r="C10" i="2"/>
  <c r="C42" i="2" s="1"/>
  <c r="C9" i="2"/>
  <c r="C41" i="2" s="1"/>
  <c r="C8" i="2"/>
  <c r="C40" i="2" s="1"/>
  <c r="J19" i="1"/>
  <c r="J20" i="1" l="1"/>
  <c r="J21" i="1"/>
  <c r="M68" i="9"/>
  <c r="M69" i="9"/>
  <c r="M67" i="9"/>
  <c r="B119" i="7" l="1"/>
  <c r="C119" i="7"/>
  <c r="D119" i="7"/>
  <c r="E119" i="7"/>
  <c r="G166" i="7" l="1"/>
  <c r="J166" i="7" s="1"/>
  <c r="G167" i="7"/>
  <c r="I167" i="7" s="1"/>
  <c r="G168" i="7"/>
  <c r="L168" i="7" s="1"/>
  <c r="G169" i="7"/>
  <c r="G165" i="7"/>
  <c r="I165" i="7" s="1"/>
  <c r="G152" i="7"/>
  <c r="G153" i="7"/>
  <c r="G154" i="7"/>
  <c r="G155" i="7"/>
  <c r="G156" i="7"/>
  <c r="G157" i="7"/>
  <c r="G158" i="7"/>
  <c r="G159" i="7"/>
  <c r="L159" i="7" s="1"/>
  <c r="G160" i="7"/>
  <c r="G161" i="7"/>
  <c r="G162" i="7"/>
  <c r="G136" i="7"/>
  <c r="G137" i="7"/>
  <c r="I137" i="7" s="1"/>
  <c r="G138" i="7"/>
  <c r="K138" i="7" s="1"/>
  <c r="G139" i="7"/>
  <c r="G135" i="7"/>
  <c r="L135" i="7" s="1"/>
  <c r="G122" i="7"/>
  <c r="G123" i="7"/>
  <c r="G124" i="7"/>
  <c r="G125" i="7"/>
  <c r="G126" i="7"/>
  <c r="G127" i="7"/>
  <c r="G128" i="7"/>
  <c r="G129" i="7"/>
  <c r="G130" i="7"/>
  <c r="G131" i="7"/>
  <c r="G132" i="7"/>
  <c r="G106" i="7"/>
  <c r="M106" i="7" s="1"/>
  <c r="G107" i="7"/>
  <c r="N107" i="7" s="1"/>
  <c r="G108" i="7"/>
  <c r="G109" i="7"/>
  <c r="G105" i="7"/>
  <c r="L105" i="7" s="1"/>
  <c r="G92" i="7"/>
  <c r="G93" i="7"/>
  <c r="G94" i="7"/>
  <c r="G95" i="7"/>
  <c r="G96" i="7"/>
  <c r="G97" i="7"/>
  <c r="G98" i="7"/>
  <c r="N98" i="7" s="1"/>
  <c r="G99" i="7"/>
  <c r="J99" i="7" s="1"/>
  <c r="G100" i="7"/>
  <c r="G101" i="7"/>
  <c r="G102" i="7"/>
  <c r="E149" i="7"/>
  <c r="D149" i="7"/>
  <c r="C149" i="7"/>
  <c r="B149" i="7"/>
  <c r="E89" i="7"/>
  <c r="D89" i="7"/>
  <c r="C89" i="7"/>
  <c r="B89" i="7"/>
  <c r="K76" i="7"/>
  <c r="G77" i="7"/>
  <c r="I77" i="7" s="1"/>
  <c r="G78" i="7"/>
  <c r="J78" i="7" s="1"/>
  <c r="G79" i="7"/>
  <c r="G75" i="7"/>
  <c r="K75" i="7" s="1"/>
  <c r="G66" i="9"/>
  <c r="H66" i="9"/>
  <c r="I66" i="9"/>
  <c r="J66" i="9"/>
  <c r="K66" i="9"/>
  <c r="L66" i="9"/>
  <c r="L79" i="9" s="1"/>
  <c r="F66" i="9"/>
  <c r="M49" i="9"/>
  <c r="M50" i="9"/>
  <c r="M51" i="9"/>
  <c r="M48" i="9"/>
  <c r="M66" i="9" s="1"/>
  <c r="G62" i="7"/>
  <c r="G63" i="7"/>
  <c r="G64" i="7"/>
  <c r="G65" i="7"/>
  <c r="G66" i="7"/>
  <c r="G67" i="7"/>
  <c r="G68" i="7"/>
  <c r="G69" i="7"/>
  <c r="G70" i="7"/>
  <c r="G71" i="7"/>
  <c r="G72" i="7"/>
  <c r="I47" i="9"/>
  <c r="E59" i="7"/>
  <c r="D59" i="7"/>
  <c r="C59" i="7"/>
  <c r="B59" i="7"/>
  <c r="G13" i="7"/>
  <c r="B8" i="2" s="1"/>
  <c r="B40" i="2" s="1"/>
  <c r="K72" i="7" l="1"/>
  <c r="L72" i="7"/>
  <c r="M72" i="7"/>
  <c r="J72" i="7"/>
  <c r="H72" i="7"/>
  <c r="I72" i="7"/>
  <c r="N72" i="7"/>
  <c r="O72" i="7"/>
  <c r="K131" i="7"/>
  <c r="M131" i="7"/>
  <c r="J131" i="7"/>
  <c r="L131" i="7"/>
  <c r="I131" i="7"/>
  <c r="H131" i="7"/>
  <c r="N131" i="7"/>
  <c r="O131" i="7"/>
  <c r="L161" i="7"/>
  <c r="J161" i="7"/>
  <c r="N161" i="7"/>
  <c r="K161" i="7"/>
  <c r="I161" i="7"/>
  <c r="M161" i="7"/>
  <c r="H161" i="7"/>
  <c r="O161" i="7"/>
  <c r="I71" i="7"/>
  <c r="M71" i="7"/>
  <c r="H71" i="7"/>
  <c r="K71" i="7"/>
  <c r="L71" i="7"/>
  <c r="J71" i="7"/>
  <c r="N71" i="7"/>
  <c r="O71" i="7"/>
  <c r="L100" i="7"/>
  <c r="J100" i="7"/>
  <c r="N100" i="7"/>
  <c r="I100" i="7"/>
  <c r="M100" i="7"/>
  <c r="H100" i="7"/>
  <c r="K100" i="7"/>
  <c r="O100" i="7"/>
  <c r="I130" i="7"/>
  <c r="M130" i="7"/>
  <c r="H130" i="7"/>
  <c r="K130" i="7"/>
  <c r="J130" i="7"/>
  <c r="N130" i="7"/>
  <c r="L130" i="7"/>
  <c r="O130" i="7"/>
  <c r="J160" i="7"/>
  <c r="N160" i="7"/>
  <c r="I160" i="7"/>
  <c r="M160" i="7"/>
  <c r="H160" i="7"/>
  <c r="K160" i="7"/>
  <c r="L160" i="7"/>
  <c r="O160" i="7"/>
  <c r="L102" i="7"/>
  <c r="H102" i="7"/>
  <c r="J102" i="7"/>
  <c r="N102" i="7"/>
  <c r="I102" i="7"/>
  <c r="M102" i="7"/>
  <c r="K102" i="7"/>
  <c r="O102" i="7"/>
  <c r="I132" i="7"/>
  <c r="M132" i="7"/>
  <c r="K132" i="7"/>
  <c r="L132" i="7"/>
  <c r="H132" i="7"/>
  <c r="J132" i="7"/>
  <c r="N132" i="7"/>
  <c r="O132" i="7"/>
  <c r="J162" i="7"/>
  <c r="N162" i="7"/>
  <c r="H162" i="7"/>
  <c r="M162" i="7"/>
  <c r="K162" i="7"/>
  <c r="L162" i="7"/>
  <c r="I162" i="7"/>
  <c r="O162" i="7"/>
  <c r="J101" i="7"/>
  <c r="N101" i="7"/>
  <c r="I101" i="7"/>
  <c r="M101" i="7"/>
  <c r="H101" i="7"/>
  <c r="K101" i="7"/>
  <c r="L101" i="7"/>
  <c r="O101" i="7"/>
  <c r="K70" i="7"/>
  <c r="M70" i="7"/>
  <c r="H70" i="7"/>
  <c r="J70" i="7"/>
  <c r="L70" i="7"/>
  <c r="I70" i="7"/>
  <c r="N70" i="7"/>
  <c r="O70" i="7"/>
  <c r="J128" i="7"/>
  <c r="N69" i="11"/>
  <c r="N48" i="11"/>
  <c r="M79" i="9"/>
  <c r="K68" i="7"/>
  <c r="L158" i="7"/>
  <c r="K165" i="7"/>
  <c r="K159" i="7"/>
  <c r="L165" i="7"/>
  <c r="O128" i="7"/>
  <c r="I158" i="7"/>
  <c r="H75" i="7"/>
  <c r="K105" i="7"/>
  <c r="N75" i="7"/>
  <c r="J75" i="7"/>
  <c r="J108" i="7"/>
  <c r="I166" i="7"/>
  <c r="N158" i="7"/>
  <c r="M78" i="7"/>
  <c r="M75" i="7"/>
  <c r="I75" i="7"/>
  <c r="N128" i="7"/>
  <c r="H105" i="7"/>
  <c r="N105" i="7"/>
  <c r="J105" i="7"/>
  <c r="N135" i="7"/>
  <c r="J135" i="7"/>
  <c r="H165" i="7"/>
  <c r="N166" i="7"/>
  <c r="N165" i="7"/>
  <c r="J165" i="7"/>
  <c r="M158" i="7"/>
  <c r="K135" i="7"/>
  <c r="J69" i="7"/>
  <c r="L78" i="7"/>
  <c r="L75" i="7"/>
  <c r="I128" i="7"/>
  <c r="N108" i="7"/>
  <c r="M105" i="7"/>
  <c r="I105" i="7"/>
  <c r="M135" i="7"/>
  <c r="I135" i="7"/>
  <c r="H166" i="7"/>
  <c r="M165" i="7"/>
  <c r="M159" i="7"/>
  <c r="H135" i="7"/>
  <c r="H78" i="7"/>
  <c r="J77" i="7"/>
  <c r="K107" i="7"/>
  <c r="H138" i="7"/>
  <c r="J138" i="7"/>
  <c r="N77" i="7"/>
  <c r="J107" i="7"/>
  <c r="G80" i="7"/>
  <c r="L77" i="7"/>
  <c r="N76" i="7"/>
  <c r="I107" i="7"/>
  <c r="L138" i="7"/>
  <c r="H77" i="7"/>
  <c r="I78" i="7"/>
  <c r="K77" i="7"/>
  <c r="I98" i="7"/>
  <c r="L69" i="7"/>
  <c r="M69" i="7"/>
  <c r="I69" i="7"/>
  <c r="K69" i="7"/>
  <c r="L99" i="7"/>
  <c r="H99" i="7"/>
  <c r="I99" i="7"/>
  <c r="M99" i="7"/>
  <c r="K106" i="7"/>
  <c r="I106" i="7"/>
  <c r="N106" i="7"/>
  <c r="J106" i="7"/>
  <c r="H106" i="7"/>
  <c r="L106" i="7"/>
  <c r="L137" i="7"/>
  <c r="H137" i="7"/>
  <c r="J137" i="7"/>
  <c r="K137" i="7"/>
  <c r="M137" i="7"/>
  <c r="I168" i="7"/>
  <c r="M168" i="7"/>
  <c r="N168" i="7"/>
  <c r="J168" i="7"/>
  <c r="K168" i="7"/>
  <c r="H168" i="7"/>
  <c r="N137" i="7"/>
  <c r="K98" i="7"/>
  <c r="O98" i="7"/>
  <c r="L98" i="7"/>
  <c r="H98" i="7"/>
  <c r="I129" i="7"/>
  <c r="M129" i="7"/>
  <c r="J129" i="7"/>
  <c r="K129" i="7"/>
  <c r="H129" i="7"/>
  <c r="K136" i="7"/>
  <c r="L136" i="7"/>
  <c r="M136" i="7"/>
  <c r="I136" i="7"/>
  <c r="N136" i="7"/>
  <c r="L167" i="7"/>
  <c r="H167" i="7"/>
  <c r="J167" i="7"/>
  <c r="K167" i="7"/>
  <c r="M167" i="7"/>
  <c r="M98" i="7"/>
  <c r="L76" i="7"/>
  <c r="H76" i="7"/>
  <c r="I76" i="7"/>
  <c r="M76" i="7"/>
  <c r="J76" i="7"/>
  <c r="K99" i="7"/>
  <c r="J98" i="7"/>
  <c r="L129" i="7"/>
  <c r="H136" i="7"/>
  <c r="J136" i="7"/>
  <c r="N167" i="7"/>
  <c r="K78" i="7"/>
  <c r="I108" i="7"/>
  <c r="M108" i="7"/>
  <c r="L128" i="7"/>
  <c r="H128" i="7"/>
  <c r="K166" i="7"/>
  <c r="M128" i="7"/>
  <c r="L108" i="7"/>
  <c r="H159" i="7"/>
  <c r="M166" i="7"/>
  <c r="J159" i="7"/>
  <c r="N78" i="7"/>
  <c r="M77" i="7"/>
  <c r="L107" i="7"/>
  <c r="H107" i="7"/>
  <c r="I138" i="7"/>
  <c r="M138" i="7"/>
  <c r="K158" i="7"/>
  <c r="O158" i="7"/>
  <c r="H158" i="7"/>
  <c r="K128" i="7"/>
  <c r="H108" i="7"/>
  <c r="K108" i="7"/>
  <c r="M107" i="7"/>
  <c r="N138" i="7"/>
  <c r="L166" i="7"/>
  <c r="I159" i="7"/>
  <c r="J158" i="7"/>
  <c r="G133" i="7"/>
  <c r="G110" i="7"/>
  <c r="G103" i="7"/>
  <c r="G73" i="7"/>
  <c r="H68" i="7"/>
  <c r="N68" i="7"/>
  <c r="J68" i="7"/>
  <c r="M68" i="7"/>
  <c r="I68" i="7"/>
  <c r="L68" i="7"/>
  <c r="H69" i="7"/>
  <c r="O68" i="7"/>
  <c r="F3" i="12"/>
  <c r="B3" i="12"/>
  <c r="O48" i="11" l="1"/>
  <c r="O69" i="11"/>
  <c r="M110" i="7"/>
  <c r="L80" i="7"/>
  <c r="I80" i="7"/>
  <c r="N110" i="7"/>
  <c r="J110" i="7"/>
  <c r="K80" i="7"/>
  <c r="L110" i="7"/>
  <c r="J80" i="7"/>
  <c r="M80" i="7"/>
  <c r="H110" i="7"/>
  <c r="N80" i="7"/>
  <c r="H80" i="7"/>
  <c r="H170" i="7"/>
  <c r="K170" i="7"/>
  <c r="I110" i="7"/>
  <c r="L170" i="7"/>
  <c r="K110" i="7"/>
  <c r="E2" i="7"/>
  <c r="E57" i="7" s="1"/>
  <c r="M170" i="7" l="1"/>
  <c r="I170" i="7"/>
  <c r="N170" i="7"/>
  <c r="J170" i="7"/>
  <c r="G140" i="7"/>
  <c r="J140" i="7"/>
  <c r="N140" i="7"/>
  <c r="K140" i="7"/>
  <c r="L140" i="7"/>
  <c r="M140" i="7"/>
  <c r="G170" i="7"/>
  <c r="H140" i="7"/>
  <c r="I140" i="7"/>
  <c r="G163" i="7"/>
  <c r="G172" i="5"/>
  <c r="J172" i="5" s="1"/>
  <c r="G173" i="5"/>
  <c r="K173" i="5" s="1"/>
  <c r="G171" i="5"/>
  <c r="L171" i="5" s="1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55" i="5"/>
  <c r="G142" i="5"/>
  <c r="G143" i="5"/>
  <c r="G141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F153" i="5"/>
  <c r="E153" i="5"/>
  <c r="D153" i="5"/>
  <c r="C153" i="5"/>
  <c r="B153" i="5"/>
  <c r="E123" i="5"/>
  <c r="D123" i="5"/>
  <c r="C123" i="5"/>
  <c r="B123" i="5"/>
  <c r="E93" i="5"/>
  <c r="D93" i="5"/>
  <c r="C93" i="5"/>
  <c r="B93" i="5"/>
  <c r="D63" i="5"/>
  <c r="E63" i="5"/>
  <c r="C63" i="5"/>
  <c r="B63" i="5"/>
  <c r="J171" i="5"/>
  <c r="K171" i="5"/>
  <c r="I172" i="5"/>
  <c r="N173" i="5"/>
  <c r="J173" i="5" l="1"/>
  <c r="M172" i="5"/>
  <c r="H172" i="5"/>
  <c r="L172" i="5"/>
  <c r="G169" i="5"/>
  <c r="N171" i="5"/>
  <c r="M173" i="5"/>
  <c r="I173" i="5"/>
  <c r="H173" i="5"/>
  <c r="L173" i="5"/>
  <c r="K172" i="5"/>
  <c r="K174" i="5" s="1"/>
  <c r="N172" i="5"/>
  <c r="G174" i="5"/>
  <c r="M171" i="5"/>
  <c r="I171" i="5"/>
  <c r="H171" i="5"/>
  <c r="J174" i="5"/>
  <c r="L174" i="5" l="1"/>
  <c r="N174" i="5"/>
  <c r="M174" i="5"/>
  <c r="H174" i="5"/>
  <c r="I174" i="5"/>
  <c r="I141" i="5" l="1"/>
  <c r="J141" i="5"/>
  <c r="K141" i="5"/>
  <c r="L141" i="5"/>
  <c r="M141" i="5"/>
  <c r="N141" i="5"/>
  <c r="I142" i="5"/>
  <c r="J142" i="5"/>
  <c r="K142" i="5"/>
  <c r="L142" i="5"/>
  <c r="M142" i="5"/>
  <c r="N142" i="5"/>
  <c r="I143" i="5"/>
  <c r="J143" i="5"/>
  <c r="K143" i="5"/>
  <c r="L143" i="5"/>
  <c r="M143" i="5"/>
  <c r="N143" i="5"/>
  <c r="H143" i="5"/>
  <c r="H142" i="5"/>
  <c r="H141" i="5"/>
  <c r="G112" i="5"/>
  <c r="I112" i="5" s="1"/>
  <c r="G113" i="5"/>
  <c r="K113" i="5" s="1"/>
  <c r="G111" i="5"/>
  <c r="I111" i="5" s="1"/>
  <c r="G98" i="5"/>
  <c r="G99" i="5"/>
  <c r="G101" i="5"/>
  <c r="G102" i="5"/>
  <c r="G103" i="5"/>
  <c r="G104" i="5"/>
  <c r="G105" i="5"/>
  <c r="G106" i="5"/>
  <c r="G107" i="5"/>
  <c r="G108" i="5"/>
  <c r="G95" i="5"/>
  <c r="I104" i="5" l="1"/>
  <c r="M104" i="5"/>
  <c r="J104" i="5"/>
  <c r="N104" i="5"/>
  <c r="K104" i="5"/>
  <c r="O104" i="5"/>
  <c r="L104" i="5"/>
  <c r="H104" i="5"/>
  <c r="L111" i="5"/>
  <c r="K111" i="5"/>
  <c r="J112" i="5"/>
  <c r="G114" i="5"/>
  <c r="H111" i="5"/>
  <c r="N112" i="5"/>
  <c r="N111" i="5"/>
  <c r="J111" i="5"/>
  <c r="H112" i="5"/>
  <c r="L112" i="5"/>
  <c r="M111" i="5"/>
  <c r="K144" i="5"/>
  <c r="M144" i="5"/>
  <c r="I144" i="5"/>
  <c r="I113" i="5"/>
  <c r="I114" i="5" s="1"/>
  <c r="N144" i="5"/>
  <c r="M113" i="5"/>
  <c r="J144" i="5"/>
  <c r="L144" i="5"/>
  <c r="H113" i="5"/>
  <c r="L113" i="5"/>
  <c r="K112" i="5"/>
  <c r="N113" i="5"/>
  <c r="J113" i="5"/>
  <c r="M112" i="5"/>
  <c r="H144" i="5"/>
  <c r="G139" i="5"/>
  <c r="G144" i="5"/>
  <c r="L114" i="5" l="1"/>
  <c r="H114" i="5"/>
  <c r="K114" i="5"/>
  <c r="J114" i="5"/>
  <c r="N114" i="5"/>
  <c r="M114" i="5"/>
  <c r="G81" i="5" l="1"/>
  <c r="J81" i="5" s="1"/>
  <c r="G82" i="5"/>
  <c r="K82" i="5" s="1"/>
  <c r="G83" i="5"/>
  <c r="L83" i="5" s="1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65" i="5"/>
  <c r="K65" i="5" s="1"/>
  <c r="L65" i="9"/>
  <c r="E59" i="9"/>
  <c r="E60" i="9"/>
  <c r="E61" i="9"/>
  <c r="G61" i="9" s="1"/>
  <c r="E62" i="9"/>
  <c r="E63" i="9"/>
  <c r="K63" i="9" s="1"/>
  <c r="E64" i="9"/>
  <c r="E70" i="9"/>
  <c r="J70" i="9" s="1"/>
  <c r="E58" i="9"/>
  <c r="E23" i="9"/>
  <c r="G23" i="9" s="1"/>
  <c r="E33" i="9"/>
  <c r="H33" i="9" s="1"/>
  <c r="F33" i="9"/>
  <c r="E34" i="9"/>
  <c r="H34" i="9" s="1"/>
  <c r="E24" i="9"/>
  <c r="H24" i="9" s="1"/>
  <c r="E25" i="9"/>
  <c r="F25" i="9" s="1"/>
  <c r="E26" i="9"/>
  <c r="H26" i="9" s="1"/>
  <c r="E27" i="9"/>
  <c r="I27" i="9" s="1"/>
  <c r="E28" i="9"/>
  <c r="F28" i="9" s="1"/>
  <c r="E29" i="9"/>
  <c r="E30" i="9"/>
  <c r="H30" i="9" s="1"/>
  <c r="H78" i="9" s="1"/>
  <c r="E31" i="9"/>
  <c r="I31" i="9" s="1"/>
  <c r="E32" i="9"/>
  <c r="F32" i="9" s="1"/>
  <c r="H23" i="9"/>
  <c r="J23" i="9"/>
  <c r="K23" i="9"/>
  <c r="F23" i="9"/>
  <c r="I74" i="5" l="1"/>
  <c r="M74" i="5"/>
  <c r="J74" i="5"/>
  <c r="N74" i="5"/>
  <c r="K74" i="5"/>
  <c r="O74" i="5"/>
  <c r="L74" i="5"/>
  <c r="H74" i="5"/>
  <c r="I29" i="9"/>
  <c r="I77" i="9" s="1"/>
  <c r="K67" i="11" s="1"/>
  <c r="F29" i="9"/>
  <c r="L63" i="9"/>
  <c r="J47" i="11"/>
  <c r="J68" i="11"/>
  <c r="I65" i="5"/>
  <c r="M155" i="5"/>
  <c r="M95" i="5"/>
  <c r="M125" i="5"/>
  <c r="H62" i="9"/>
  <c r="E78" i="9"/>
  <c r="N99" i="7"/>
  <c r="N69" i="7"/>
  <c r="N159" i="7"/>
  <c r="N129" i="7"/>
  <c r="L155" i="5"/>
  <c r="L125" i="5"/>
  <c r="L95" i="5"/>
  <c r="J155" i="5"/>
  <c r="J125" i="5"/>
  <c r="J95" i="5"/>
  <c r="J64" i="9"/>
  <c r="L97" i="7" s="1"/>
  <c r="J60" i="9"/>
  <c r="H155" i="5"/>
  <c r="H95" i="5"/>
  <c r="H125" i="5"/>
  <c r="I155" i="5"/>
  <c r="I125" i="5"/>
  <c r="I95" i="5"/>
  <c r="I63" i="9"/>
  <c r="I59" i="9"/>
  <c r="K122" i="7" s="1"/>
  <c r="L59" i="9"/>
  <c r="I64" i="7"/>
  <c r="I94" i="7"/>
  <c r="I124" i="7"/>
  <c r="I154" i="7"/>
  <c r="M96" i="7"/>
  <c r="M156" i="7"/>
  <c r="M126" i="7"/>
  <c r="M66" i="7"/>
  <c r="L60" i="9"/>
  <c r="K33" i="9"/>
  <c r="K126" i="7"/>
  <c r="I64" i="9"/>
  <c r="H63" i="9"/>
  <c r="I60" i="9"/>
  <c r="H59" i="9"/>
  <c r="N156" i="7"/>
  <c r="J61" i="9"/>
  <c r="L64" i="9"/>
  <c r="G33" i="9"/>
  <c r="J95" i="7"/>
  <c r="J155" i="7"/>
  <c r="H64" i="9"/>
  <c r="G63" i="9"/>
  <c r="H60" i="9"/>
  <c r="G59" i="9"/>
  <c r="M70" i="9"/>
  <c r="I70" i="9"/>
  <c r="H161" i="5"/>
  <c r="H165" i="5"/>
  <c r="H163" i="5"/>
  <c r="H162" i="5"/>
  <c r="H132" i="5"/>
  <c r="H133" i="5"/>
  <c r="H103" i="5"/>
  <c r="H135" i="5"/>
  <c r="H131" i="5"/>
  <c r="H105" i="5"/>
  <c r="H101" i="5"/>
  <c r="H102" i="5"/>
  <c r="F70" i="9"/>
  <c r="J166" i="5"/>
  <c r="J136" i="5"/>
  <c r="J106" i="5"/>
  <c r="H28" i="9"/>
  <c r="J73" i="5" s="1"/>
  <c r="F64" i="9"/>
  <c r="F60" i="9"/>
  <c r="K70" i="9"/>
  <c r="G70" i="9"/>
  <c r="K64" i="9"/>
  <c r="G64" i="9"/>
  <c r="J63" i="9"/>
  <c r="L61" i="9"/>
  <c r="H61" i="9"/>
  <c r="K60" i="9"/>
  <c r="G60" i="9"/>
  <c r="J66" i="5"/>
  <c r="J156" i="5"/>
  <c r="J126" i="5"/>
  <c r="G24" i="9"/>
  <c r="I66" i="5" s="1"/>
  <c r="G62" i="9"/>
  <c r="K160" i="5"/>
  <c r="K130" i="5"/>
  <c r="I32" i="9"/>
  <c r="L70" i="9"/>
  <c r="H70" i="9"/>
  <c r="J62" i="9"/>
  <c r="J158" i="5"/>
  <c r="J159" i="5"/>
  <c r="J129" i="5"/>
  <c r="J128" i="5"/>
  <c r="J98" i="5"/>
  <c r="J99" i="5"/>
  <c r="K164" i="5"/>
  <c r="H157" i="5"/>
  <c r="H127" i="5"/>
  <c r="K26" i="9"/>
  <c r="J33" i="9"/>
  <c r="F63" i="9"/>
  <c r="L62" i="9"/>
  <c r="L82" i="5"/>
  <c r="H82" i="5"/>
  <c r="I81" i="5"/>
  <c r="J82" i="5"/>
  <c r="J65" i="5"/>
  <c r="M83" i="5"/>
  <c r="J69" i="5"/>
  <c r="I83" i="5"/>
  <c r="K70" i="5"/>
  <c r="N82" i="5"/>
  <c r="H67" i="5"/>
  <c r="H71" i="5"/>
  <c r="H75" i="5"/>
  <c r="H65" i="5"/>
  <c r="H73" i="5"/>
  <c r="L65" i="5"/>
  <c r="K83" i="5"/>
  <c r="J76" i="5"/>
  <c r="J68" i="5"/>
  <c r="N83" i="5"/>
  <c r="J83" i="5"/>
  <c r="M82" i="5"/>
  <c r="I82" i="5"/>
  <c r="H72" i="5"/>
  <c r="M65" i="5"/>
  <c r="H83" i="5"/>
  <c r="M81" i="5"/>
  <c r="L81" i="5"/>
  <c r="K81" i="5"/>
  <c r="H81" i="5"/>
  <c r="N81" i="5"/>
  <c r="J25" i="9"/>
  <c r="L67" i="5" s="1"/>
  <c r="H32" i="9"/>
  <c r="L28" i="9"/>
  <c r="N73" i="5" s="1"/>
  <c r="G28" i="9"/>
  <c r="I73" i="5" s="1"/>
  <c r="K34" i="9"/>
  <c r="L32" i="9"/>
  <c r="G32" i="9"/>
  <c r="K28" i="9"/>
  <c r="M72" i="5" s="1"/>
  <c r="L24" i="9"/>
  <c r="N66" i="5" s="1"/>
  <c r="J34" i="9"/>
  <c r="K32" i="9"/>
  <c r="G30" i="9"/>
  <c r="G78" i="9" s="1"/>
  <c r="I28" i="9"/>
  <c r="K75" i="5" s="1"/>
  <c r="G26" i="9"/>
  <c r="I68" i="5" s="1"/>
  <c r="F34" i="9"/>
  <c r="I33" i="9"/>
  <c r="L31" i="9"/>
  <c r="H31" i="9"/>
  <c r="L27" i="9"/>
  <c r="N70" i="5" s="1"/>
  <c r="H27" i="9"/>
  <c r="J70" i="5" s="1"/>
  <c r="F27" i="9"/>
  <c r="K31" i="9"/>
  <c r="G31" i="9"/>
  <c r="J30" i="9"/>
  <c r="J78" i="9" s="1"/>
  <c r="K27" i="9"/>
  <c r="M70" i="5" s="1"/>
  <c r="G27" i="9"/>
  <c r="J26" i="9"/>
  <c r="J31" i="9"/>
  <c r="L29" i="9"/>
  <c r="L77" i="9" s="1"/>
  <c r="H29" i="9"/>
  <c r="J27" i="9"/>
  <c r="L25" i="9"/>
  <c r="N67" i="5" s="1"/>
  <c r="H25" i="9"/>
  <c r="J67" i="5" s="1"/>
  <c r="I34" i="9"/>
  <c r="F31" i="9"/>
  <c r="J32" i="9"/>
  <c r="L30" i="9"/>
  <c r="G29" i="9"/>
  <c r="G77" i="9" s="1"/>
  <c r="J28" i="9"/>
  <c r="L26" i="9"/>
  <c r="N68" i="5" s="1"/>
  <c r="K25" i="9"/>
  <c r="G25" i="9"/>
  <c r="I67" i="5" s="1"/>
  <c r="J24" i="9"/>
  <c r="G34" i="9"/>
  <c r="L33" i="9"/>
  <c r="L34" i="9"/>
  <c r="I23" i="9"/>
  <c r="L23" i="9"/>
  <c r="N65" i="5" s="1"/>
  <c r="K46" i="11" l="1"/>
  <c r="K134" i="5"/>
  <c r="N96" i="7"/>
  <c r="N66" i="7"/>
  <c r="N126" i="7"/>
  <c r="L68" i="11"/>
  <c r="L47" i="11"/>
  <c r="I68" i="11"/>
  <c r="I47" i="11"/>
  <c r="I67" i="11"/>
  <c r="I46" i="11"/>
  <c r="H77" i="9"/>
  <c r="N76" i="5"/>
  <c r="L78" i="9"/>
  <c r="N67" i="11"/>
  <c r="N46" i="11"/>
  <c r="L127" i="7"/>
  <c r="K62" i="7"/>
  <c r="L153" i="7"/>
  <c r="L157" i="7"/>
  <c r="K92" i="7"/>
  <c r="L93" i="7"/>
  <c r="N122" i="7"/>
  <c r="N155" i="5"/>
  <c r="N125" i="5"/>
  <c r="N95" i="5"/>
  <c r="K156" i="7"/>
  <c r="L123" i="7"/>
  <c r="N92" i="7"/>
  <c r="N62" i="7"/>
  <c r="K155" i="5"/>
  <c r="K125" i="5"/>
  <c r="K95" i="5"/>
  <c r="J65" i="7"/>
  <c r="K96" i="7"/>
  <c r="L63" i="7"/>
  <c r="N152" i="7"/>
  <c r="J125" i="7"/>
  <c r="L67" i="7"/>
  <c r="K152" i="7"/>
  <c r="K66" i="7"/>
  <c r="M97" i="7"/>
  <c r="M157" i="7"/>
  <c r="M67" i="7"/>
  <c r="M127" i="7"/>
  <c r="I126" i="7"/>
  <c r="I156" i="7"/>
  <c r="I66" i="7"/>
  <c r="I96" i="7"/>
  <c r="L64" i="7"/>
  <c r="L124" i="7"/>
  <c r="L94" i="7"/>
  <c r="L154" i="7"/>
  <c r="J122" i="7"/>
  <c r="J152" i="7"/>
  <c r="J62" i="7"/>
  <c r="J92" i="7"/>
  <c r="H126" i="7"/>
  <c r="H96" i="7"/>
  <c r="H66" i="7"/>
  <c r="H156" i="7"/>
  <c r="I93" i="7"/>
  <c r="I153" i="7"/>
  <c r="I63" i="7"/>
  <c r="I123" i="7"/>
  <c r="J67" i="7"/>
  <c r="J127" i="7"/>
  <c r="J97" i="7"/>
  <c r="J157" i="7"/>
  <c r="J75" i="5"/>
  <c r="M93" i="7"/>
  <c r="M123" i="7"/>
  <c r="M63" i="7"/>
  <c r="M153" i="7"/>
  <c r="L96" i="7"/>
  <c r="L66" i="7"/>
  <c r="L156" i="7"/>
  <c r="L126" i="7"/>
  <c r="I92" i="7"/>
  <c r="I62" i="7"/>
  <c r="I122" i="7"/>
  <c r="I152" i="7"/>
  <c r="N127" i="7"/>
  <c r="N157" i="7"/>
  <c r="N97" i="7"/>
  <c r="N67" i="7"/>
  <c r="J156" i="7"/>
  <c r="J96" i="7"/>
  <c r="J66" i="7"/>
  <c r="J126" i="7"/>
  <c r="N124" i="7"/>
  <c r="N94" i="7"/>
  <c r="N154" i="7"/>
  <c r="N64" i="7"/>
  <c r="H157" i="7"/>
  <c r="H127" i="7"/>
  <c r="H97" i="7"/>
  <c r="H67" i="7"/>
  <c r="K73" i="5"/>
  <c r="K153" i="7"/>
  <c r="K93" i="7"/>
  <c r="K123" i="7"/>
  <c r="K63" i="7"/>
  <c r="N95" i="7"/>
  <c r="N155" i="7"/>
  <c r="N125" i="7"/>
  <c r="N65" i="7"/>
  <c r="L65" i="7"/>
  <c r="L125" i="7"/>
  <c r="L95" i="7"/>
  <c r="L155" i="7"/>
  <c r="I65" i="7"/>
  <c r="I155" i="7"/>
  <c r="I125" i="7"/>
  <c r="I95" i="7"/>
  <c r="J124" i="7"/>
  <c r="J154" i="7"/>
  <c r="J94" i="7"/>
  <c r="J64" i="7"/>
  <c r="I127" i="7"/>
  <c r="I67" i="7"/>
  <c r="I97" i="7"/>
  <c r="I157" i="7"/>
  <c r="H123" i="7"/>
  <c r="H63" i="7"/>
  <c r="H93" i="7"/>
  <c r="H153" i="7"/>
  <c r="J63" i="7"/>
  <c r="J123" i="7"/>
  <c r="J153" i="7"/>
  <c r="J93" i="7"/>
  <c r="K157" i="7"/>
  <c r="K97" i="7"/>
  <c r="K67" i="7"/>
  <c r="K127" i="7"/>
  <c r="N123" i="7"/>
  <c r="N63" i="7"/>
  <c r="N93" i="7"/>
  <c r="N153" i="7"/>
  <c r="N75" i="5"/>
  <c r="M71" i="5"/>
  <c r="K71" i="5"/>
  <c r="L84" i="5"/>
  <c r="J72" i="5"/>
  <c r="J71" i="5"/>
  <c r="L163" i="5"/>
  <c r="L165" i="5"/>
  <c r="L162" i="5"/>
  <c r="L161" i="5"/>
  <c r="L131" i="5"/>
  <c r="L135" i="5"/>
  <c r="L103" i="5"/>
  <c r="L132" i="5"/>
  <c r="L133" i="5"/>
  <c r="L105" i="5"/>
  <c r="L102" i="5"/>
  <c r="L101" i="5"/>
  <c r="L159" i="5"/>
  <c r="L158" i="5"/>
  <c r="L129" i="5"/>
  <c r="L128" i="5"/>
  <c r="L99" i="5"/>
  <c r="L98" i="5"/>
  <c r="I164" i="5"/>
  <c r="I134" i="5"/>
  <c r="I160" i="5"/>
  <c r="I130" i="5"/>
  <c r="M157" i="5"/>
  <c r="M127" i="5"/>
  <c r="N164" i="5"/>
  <c r="N134" i="5"/>
  <c r="M160" i="5"/>
  <c r="M130" i="5"/>
  <c r="K162" i="5"/>
  <c r="K163" i="5"/>
  <c r="K165" i="5"/>
  <c r="K161" i="5"/>
  <c r="K132" i="5"/>
  <c r="K131" i="5"/>
  <c r="K135" i="5"/>
  <c r="K102" i="5"/>
  <c r="K133" i="5"/>
  <c r="K101" i="5"/>
  <c r="K105" i="5"/>
  <c r="K103" i="5"/>
  <c r="N156" i="5"/>
  <c r="N126" i="5"/>
  <c r="M73" i="5"/>
  <c r="I75" i="5"/>
  <c r="L73" i="5"/>
  <c r="L75" i="5"/>
  <c r="K72" i="5"/>
  <c r="I70" i="5"/>
  <c r="L72" i="5"/>
  <c r="L156" i="5"/>
  <c r="L126" i="5"/>
  <c r="L160" i="5"/>
  <c r="L130" i="5"/>
  <c r="N160" i="5"/>
  <c r="N130" i="5"/>
  <c r="I162" i="5"/>
  <c r="I163" i="5"/>
  <c r="I165" i="5"/>
  <c r="I161" i="5"/>
  <c r="I132" i="5"/>
  <c r="I131" i="5"/>
  <c r="I135" i="5"/>
  <c r="I102" i="5"/>
  <c r="I133" i="5"/>
  <c r="I105" i="5"/>
  <c r="I101" i="5"/>
  <c r="I103" i="5"/>
  <c r="I71" i="5"/>
  <c r="M159" i="5"/>
  <c r="M158" i="5"/>
  <c r="M128" i="5"/>
  <c r="M129" i="5"/>
  <c r="M98" i="5"/>
  <c r="M99" i="5"/>
  <c r="I157" i="5"/>
  <c r="I127" i="5"/>
  <c r="J164" i="5"/>
  <c r="J134" i="5"/>
  <c r="I159" i="5"/>
  <c r="I158" i="5"/>
  <c r="I128" i="5"/>
  <c r="I98" i="5"/>
  <c r="I129" i="5"/>
  <c r="I99" i="5"/>
  <c r="N162" i="5"/>
  <c r="N163" i="5"/>
  <c r="N165" i="5"/>
  <c r="N161" i="5"/>
  <c r="N133" i="5"/>
  <c r="N132" i="5"/>
  <c r="N131" i="5"/>
  <c r="N135" i="5"/>
  <c r="N101" i="5"/>
  <c r="N105" i="5"/>
  <c r="N103" i="5"/>
  <c r="N102" i="5"/>
  <c r="N71" i="5"/>
  <c r="L71" i="5"/>
  <c r="M68" i="5"/>
  <c r="I69" i="5"/>
  <c r="N166" i="5"/>
  <c r="N136" i="5"/>
  <c r="N106" i="5"/>
  <c r="J157" i="5"/>
  <c r="J127" i="5"/>
  <c r="H160" i="5"/>
  <c r="H130" i="5"/>
  <c r="N158" i="5"/>
  <c r="N159" i="5"/>
  <c r="N129" i="5"/>
  <c r="N128" i="5"/>
  <c r="N98" i="5"/>
  <c r="N99" i="5"/>
  <c r="N157" i="5"/>
  <c r="N127" i="5"/>
  <c r="L166" i="5"/>
  <c r="L136" i="5"/>
  <c r="L106" i="5"/>
  <c r="J160" i="5"/>
  <c r="J130" i="5"/>
  <c r="I166" i="5"/>
  <c r="I136" i="5"/>
  <c r="I106" i="5"/>
  <c r="M163" i="5"/>
  <c r="M162" i="5"/>
  <c r="M165" i="5"/>
  <c r="M161" i="5"/>
  <c r="M132" i="5"/>
  <c r="M102" i="5"/>
  <c r="M133" i="5"/>
  <c r="M131" i="5"/>
  <c r="M135" i="5"/>
  <c r="M101" i="5"/>
  <c r="M103" i="5"/>
  <c r="M105" i="5"/>
  <c r="L157" i="5"/>
  <c r="L127" i="5"/>
  <c r="M69" i="5"/>
  <c r="M67" i="5"/>
  <c r="N72" i="5"/>
  <c r="M75" i="5"/>
  <c r="L69" i="5"/>
  <c r="I72" i="5"/>
  <c r="H70" i="5"/>
  <c r="L70" i="5"/>
  <c r="L66" i="5"/>
  <c r="I76" i="5"/>
  <c r="N69" i="5"/>
  <c r="L76" i="5"/>
  <c r="I156" i="5"/>
  <c r="I126" i="5"/>
  <c r="J162" i="5"/>
  <c r="J163" i="5"/>
  <c r="J165" i="5"/>
  <c r="J161" i="5"/>
  <c r="J133" i="5"/>
  <c r="J131" i="5"/>
  <c r="J135" i="5"/>
  <c r="J132" i="5"/>
  <c r="J103" i="5"/>
  <c r="J101" i="5"/>
  <c r="J105" i="5"/>
  <c r="J102" i="5"/>
  <c r="L68" i="5"/>
  <c r="J84" i="5"/>
  <c r="I84" i="5"/>
  <c r="N84" i="5"/>
  <c r="H84" i="5"/>
  <c r="M84" i="5"/>
  <c r="K84" i="5"/>
  <c r="G36" i="7"/>
  <c r="G43" i="7" s="1"/>
  <c r="H54" i="7"/>
  <c r="I54" i="7"/>
  <c r="H10" i="7"/>
  <c r="H13" i="7" s="1"/>
  <c r="B9" i="2" l="1"/>
  <c r="B41" i="2" s="1"/>
  <c r="N47" i="11"/>
  <c r="N50" i="11" s="1"/>
  <c r="N58" i="11" s="1"/>
  <c r="N62" i="11" s="1"/>
  <c r="J8" i="4" s="1"/>
  <c r="J39" i="4" s="1"/>
  <c r="H21" i="12" s="1"/>
  <c r="N68" i="11"/>
  <c r="N71" i="11" s="1"/>
  <c r="N79" i="11" s="1"/>
  <c r="N83" i="11" s="1"/>
  <c r="J9" i="4" s="1"/>
  <c r="J40" i="4" s="1"/>
  <c r="H31" i="12" s="1"/>
  <c r="I71" i="11"/>
  <c r="I79" i="11" s="1"/>
  <c r="I83" i="11" s="1"/>
  <c r="E9" i="4" s="1"/>
  <c r="E40" i="4" s="1"/>
  <c r="H26" i="12" s="1"/>
  <c r="I50" i="11"/>
  <c r="I58" i="11" s="1"/>
  <c r="I62" i="11" s="1"/>
  <c r="E8" i="4" s="1"/>
  <c r="E39" i="4" s="1"/>
  <c r="H16" i="12" s="1"/>
  <c r="J67" i="11"/>
  <c r="J71" i="11" s="1"/>
  <c r="J79" i="11" s="1"/>
  <c r="J83" i="11" s="1"/>
  <c r="F9" i="4" s="1"/>
  <c r="F40" i="4" s="1"/>
  <c r="H27" i="12" s="1"/>
  <c r="J46" i="11"/>
  <c r="J50" i="11" s="1"/>
  <c r="J58" i="11" s="1"/>
  <c r="J62" i="11" s="1"/>
  <c r="F8" i="4" s="1"/>
  <c r="F39" i="4" s="1"/>
  <c r="H17" i="12" s="1"/>
  <c r="N163" i="7"/>
  <c r="N173" i="7" s="1"/>
  <c r="N103" i="7"/>
  <c r="N113" i="7" s="1"/>
  <c r="N117" i="7" s="1"/>
  <c r="J9" i="2" s="1"/>
  <c r="J79" i="5"/>
  <c r="J87" i="5" s="1"/>
  <c r="J91" i="5" s="1"/>
  <c r="J133" i="7"/>
  <c r="J143" i="7" s="1"/>
  <c r="N73" i="7"/>
  <c r="N83" i="7" s="1"/>
  <c r="N87" i="7" s="1"/>
  <c r="J8" i="2" s="1"/>
  <c r="I163" i="7"/>
  <c r="I173" i="7" s="1"/>
  <c r="N133" i="7"/>
  <c r="N143" i="7" s="1"/>
  <c r="I133" i="7"/>
  <c r="I143" i="7" s="1"/>
  <c r="J73" i="7"/>
  <c r="J83" i="7" s="1"/>
  <c r="J87" i="7" s="1"/>
  <c r="F8" i="2" s="1"/>
  <c r="I103" i="7"/>
  <c r="I113" i="7" s="1"/>
  <c r="I117" i="7" s="1"/>
  <c r="E9" i="2" s="1"/>
  <c r="J103" i="7"/>
  <c r="J113" i="7" s="1"/>
  <c r="J117" i="7" s="1"/>
  <c r="F9" i="2" s="1"/>
  <c r="I73" i="7"/>
  <c r="I83" i="7" s="1"/>
  <c r="I87" i="7" s="1"/>
  <c r="E8" i="2" s="1"/>
  <c r="J163" i="7"/>
  <c r="J173" i="7" s="1"/>
  <c r="I79" i="5"/>
  <c r="I87" i="5" s="1"/>
  <c r="I91" i="5" s="1"/>
  <c r="J139" i="5"/>
  <c r="J147" i="5" s="1"/>
  <c r="J151" i="5" s="1"/>
  <c r="I139" i="5"/>
  <c r="I147" i="5" s="1"/>
  <c r="I151" i="5" s="1"/>
  <c r="N79" i="5"/>
  <c r="N87" i="5" s="1"/>
  <c r="J169" i="5"/>
  <c r="J177" i="5" s="1"/>
  <c r="J181" i="5" s="1"/>
  <c r="N169" i="5"/>
  <c r="N177" i="5" s="1"/>
  <c r="N181" i="5" s="1"/>
  <c r="I169" i="5"/>
  <c r="I177" i="5" s="1"/>
  <c r="I181" i="5" s="1"/>
  <c r="N139" i="5"/>
  <c r="N147" i="5" s="1"/>
  <c r="N151" i="5" s="1"/>
  <c r="I43" i="7"/>
  <c r="I10" i="7"/>
  <c r="G28" i="7"/>
  <c r="H28" i="7"/>
  <c r="J54" i="7"/>
  <c r="H43" i="7"/>
  <c r="G54" i="7"/>
  <c r="J28" i="7"/>
  <c r="I28" i="7"/>
  <c r="J43" i="7"/>
  <c r="I147" i="7" l="1"/>
  <c r="E10" i="2" s="1"/>
  <c r="E42" i="2" s="1"/>
  <c r="F16" i="12" s="1"/>
  <c r="J147" i="7"/>
  <c r="F10" i="2" s="1"/>
  <c r="F42" i="2" s="1"/>
  <c r="F17" i="12" s="1"/>
  <c r="N147" i="7"/>
  <c r="J10" i="2" s="1"/>
  <c r="J42" i="2" s="1"/>
  <c r="F21" i="12" s="1"/>
  <c r="I177" i="7"/>
  <c r="E11" i="2" s="1"/>
  <c r="E43" i="2" s="1"/>
  <c r="F26" i="12" s="1"/>
  <c r="J177" i="7"/>
  <c r="F11" i="2" s="1"/>
  <c r="F43" i="2" s="1"/>
  <c r="F27" i="12" s="1"/>
  <c r="N177" i="7"/>
  <c r="J11" i="2" s="1"/>
  <c r="J43" i="2" s="1"/>
  <c r="F31" i="12" s="1"/>
  <c r="E41" i="2"/>
  <c r="E26" i="12" s="1"/>
  <c r="E40" i="2"/>
  <c r="E16" i="12" s="1"/>
  <c r="J41" i="2"/>
  <c r="E31" i="12" s="1"/>
  <c r="F40" i="2"/>
  <c r="E17" i="12" s="1"/>
  <c r="F41" i="2"/>
  <c r="E27" i="12" s="1"/>
  <c r="J40" i="2"/>
  <c r="E21" i="12" s="1"/>
  <c r="D11" i="3"/>
  <c r="D40" i="3" s="1"/>
  <c r="C26" i="12" s="1"/>
  <c r="E11" i="3"/>
  <c r="E40" i="3" s="1"/>
  <c r="C27" i="12" s="1"/>
  <c r="D8" i="3"/>
  <c r="D37" i="3" s="1"/>
  <c r="B16" i="12" s="1"/>
  <c r="E8" i="3"/>
  <c r="E37" i="3" s="1"/>
  <c r="B17" i="12" s="1"/>
  <c r="D10" i="3"/>
  <c r="D39" i="3" s="1"/>
  <c r="C16" i="12" s="1"/>
  <c r="I10" i="3"/>
  <c r="I39" i="3" s="1"/>
  <c r="C21" i="12" s="1"/>
  <c r="I11" i="3"/>
  <c r="I40" i="3" s="1"/>
  <c r="C31" i="12" s="1"/>
  <c r="E10" i="3"/>
  <c r="E39" i="3" s="1"/>
  <c r="C17" i="12" s="1"/>
  <c r="J10" i="7"/>
  <c r="J13" i="7" s="1"/>
  <c r="B11" i="2" s="1"/>
  <c r="B43" i="2" s="1"/>
  <c r="I13" i="7"/>
  <c r="B10" i="2" s="1"/>
  <c r="B42" i="2" s="1"/>
  <c r="N91" i="5"/>
  <c r="G47" i="7"/>
  <c r="H47" i="7"/>
  <c r="H55" i="7" s="1"/>
  <c r="K17" i="12" l="1"/>
  <c r="B31" i="14" s="1"/>
  <c r="K16" i="12"/>
  <c r="B30" i="14" s="1"/>
  <c r="J47" i="7"/>
  <c r="J55" i="7" s="1"/>
  <c r="I8" i="3"/>
  <c r="I37" i="3" s="1"/>
  <c r="G55" i="7"/>
  <c r="I47" i="7"/>
  <c r="I55" i="7" s="1"/>
  <c r="O93" i="9"/>
  <c r="O92" i="9"/>
  <c r="O91" i="9"/>
  <c r="O90" i="9"/>
  <c r="O89" i="9"/>
  <c r="O88" i="9"/>
  <c r="O87" i="9"/>
  <c r="O86" i="9"/>
  <c r="O85" i="9"/>
  <c r="M47" i="9"/>
  <c r="M46" i="9"/>
  <c r="M45" i="9"/>
  <c r="K44" i="9"/>
  <c r="K62" i="9" s="1"/>
  <c r="I44" i="9"/>
  <c r="I62" i="9" s="1"/>
  <c r="F44" i="9"/>
  <c r="K43" i="9"/>
  <c r="K61" i="9" s="1"/>
  <c r="I43" i="9"/>
  <c r="I61" i="9" s="1"/>
  <c r="F43" i="9"/>
  <c r="F61" i="9" s="1"/>
  <c r="M42" i="9"/>
  <c r="K41" i="9"/>
  <c r="K59" i="9" s="1"/>
  <c r="J41" i="9"/>
  <c r="J59" i="9" s="1"/>
  <c r="F41" i="9"/>
  <c r="F59" i="9" s="1"/>
  <c r="M17" i="9"/>
  <c r="M16" i="9"/>
  <c r="M15" i="9"/>
  <c r="M14" i="9"/>
  <c r="K30" i="9"/>
  <c r="K78" i="9" s="1"/>
  <c r="I13" i="9"/>
  <c r="I30" i="9" s="1"/>
  <c r="I78" i="9" s="1"/>
  <c r="F30" i="9"/>
  <c r="F78" i="9" s="1"/>
  <c r="K12" i="9"/>
  <c r="K29" i="9" s="1"/>
  <c r="K77" i="9" s="1"/>
  <c r="J29" i="9"/>
  <c r="J77" i="9" s="1"/>
  <c r="F12" i="9"/>
  <c r="F77" i="9" s="1"/>
  <c r="M11" i="9"/>
  <c r="M10" i="9"/>
  <c r="I26" i="9"/>
  <c r="F26" i="9"/>
  <c r="K7" i="9"/>
  <c r="K24" i="9" s="1"/>
  <c r="I7" i="9"/>
  <c r="I24" i="9" s="1"/>
  <c r="F24" i="9"/>
  <c r="M6" i="9"/>
  <c r="I14" i="5"/>
  <c r="B10" i="3" s="1"/>
  <c r="J14" i="5"/>
  <c r="G14" i="5"/>
  <c r="G58" i="5"/>
  <c r="G84" i="5" s="1"/>
  <c r="J49" i="5"/>
  <c r="I8" i="9"/>
  <c r="I25" i="9" s="1"/>
  <c r="H42" i="5"/>
  <c r="H41" i="5"/>
  <c r="H40" i="5"/>
  <c r="I49" i="5"/>
  <c r="H35" i="5"/>
  <c r="H33" i="5"/>
  <c r="J31" i="5"/>
  <c r="G31" i="5"/>
  <c r="G79" i="5" s="1"/>
  <c r="H22" i="5"/>
  <c r="G100" i="5" s="1"/>
  <c r="I31" i="5"/>
  <c r="H19" i="5"/>
  <c r="G97" i="5" s="1"/>
  <c r="H18" i="5"/>
  <c r="G96" i="5" s="1"/>
  <c r="H11" i="5"/>
  <c r="H14" i="5" s="1"/>
  <c r="B9" i="3" s="1"/>
  <c r="C11" i="1"/>
  <c r="M8" i="9" l="1"/>
  <c r="M25" i="9" s="1"/>
  <c r="O97" i="5" s="1"/>
  <c r="K67" i="5"/>
  <c r="K157" i="5"/>
  <c r="K127" i="5"/>
  <c r="L67" i="11"/>
  <c r="L71" i="11" s="1"/>
  <c r="L79" i="11" s="1"/>
  <c r="L83" i="11" s="1"/>
  <c r="H9" i="4" s="1"/>
  <c r="H40" i="4" s="1"/>
  <c r="H29" i="12" s="1"/>
  <c r="L46" i="11"/>
  <c r="L50" i="11" s="1"/>
  <c r="L58" i="11" s="1"/>
  <c r="L62" i="11" s="1"/>
  <c r="H8" i="4" s="1"/>
  <c r="H39" i="4" s="1"/>
  <c r="H19" i="12" s="1"/>
  <c r="M68" i="11"/>
  <c r="M47" i="11"/>
  <c r="H68" i="11"/>
  <c r="H47" i="11"/>
  <c r="M78" i="9"/>
  <c r="H67" i="11"/>
  <c r="M77" i="9"/>
  <c r="H46" i="11"/>
  <c r="K47" i="11"/>
  <c r="K50" i="11" s="1"/>
  <c r="K58" i="11" s="1"/>
  <c r="K62" i="11" s="1"/>
  <c r="G8" i="4" s="1"/>
  <c r="G39" i="4" s="1"/>
  <c r="H18" i="12" s="1"/>
  <c r="K68" i="11"/>
  <c r="K71" i="11" s="1"/>
  <c r="K79" i="11" s="1"/>
  <c r="K83" i="11" s="1"/>
  <c r="G9" i="4" s="1"/>
  <c r="G40" i="4" s="1"/>
  <c r="H28" i="12" s="1"/>
  <c r="O53" i="11"/>
  <c r="O74" i="11"/>
  <c r="M67" i="11"/>
  <c r="M71" i="11" s="1"/>
  <c r="M79" i="11" s="1"/>
  <c r="M83" i="11" s="1"/>
  <c r="I9" i="4" s="1"/>
  <c r="I40" i="4" s="1"/>
  <c r="H30" i="12" s="1"/>
  <c r="M46" i="11"/>
  <c r="M50" i="11" s="1"/>
  <c r="M58" i="11" s="1"/>
  <c r="M62" i="11" s="1"/>
  <c r="I8" i="4" s="1"/>
  <c r="I39" i="4" s="1"/>
  <c r="H20" i="12" s="1"/>
  <c r="B21" i="12"/>
  <c r="K21" i="12" s="1"/>
  <c r="B35" i="14" s="1"/>
  <c r="O73" i="11"/>
  <c r="O52" i="11"/>
  <c r="M44" i="9"/>
  <c r="M62" i="9" s="1"/>
  <c r="F62" i="9"/>
  <c r="H62" i="7"/>
  <c r="H92" i="7"/>
  <c r="H152" i="7"/>
  <c r="H122" i="7"/>
  <c r="H124" i="7"/>
  <c r="H94" i="7"/>
  <c r="H154" i="7"/>
  <c r="H64" i="7"/>
  <c r="K95" i="7"/>
  <c r="K125" i="7"/>
  <c r="K65" i="7"/>
  <c r="K155" i="7"/>
  <c r="O136" i="7"/>
  <c r="O76" i="7"/>
  <c r="O106" i="7"/>
  <c r="O166" i="7"/>
  <c r="O172" i="5"/>
  <c r="O142" i="5"/>
  <c r="O112" i="5"/>
  <c r="O82" i="5"/>
  <c r="L62" i="7"/>
  <c r="L73" i="7" s="1"/>
  <c r="L83" i="7" s="1"/>
  <c r="L87" i="7" s="1"/>
  <c r="H8" i="2" s="1"/>
  <c r="L122" i="7"/>
  <c r="L133" i="7" s="1"/>
  <c r="L143" i="7" s="1"/>
  <c r="L152" i="7"/>
  <c r="L163" i="7" s="1"/>
  <c r="L173" i="7" s="1"/>
  <c r="L92" i="7"/>
  <c r="L103" i="7" s="1"/>
  <c r="L113" i="7" s="1"/>
  <c r="L117" i="7" s="1"/>
  <c r="H9" i="2" s="1"/>
  <c r="K124" i="7"/>
  <c r="K154" i="7"/>
  <c r="K64" i="7"/>
  <c r="K73" i="7" s="1"/>
  <c r="K83" i="7" s="1"/>
  <c r="K87" i="7" s="1"/>
  <c r="G8" i="2" s="1"/>
  <c r="K94" i="7"/>
  <c r="M125" i="7"/>
  <c r="M95" i="7"/>
  <c r="M155" i="7"/>
  <c r="M65" i="7"/>
  <c r="O137" i="7"/>
  <c r="O167" i="7"/>
  <c r="O77" i="7"/>
  <c r="O107" i="7"/>
  <c r="O78" i="7"/>
  <c r="O138" i="7"/>
  <c r="O108" i="7"/>
  <c r="O168" i="7"/>
  <c r="O173" i="5"/>
  <c r="O143" i="5"/>
  <c r="O113" i="5"/>
  <c r="O83" i="5"/>
  <c r="M152" i="7"/>
  <c r="M92" i="7"/>
  <c r="M122" i="7"/>
  <c r="M62" i="7"/>
  <c r="M94" i="7"/>
  <c r="M64" i="7"/>
  <c r="M124" i="7"/>
  <c r="M154" i="7"/>
  <c r="O165" i="7"/>
  <c r="O135" i="7"/>
  <c r="O75" i="7"/>
  <c r="O105" i="7"/>
  <c r="O171" i="5"/>
  <c r="O141" i="5"/>
  <c r="O111" i="5"/>
  <c r="O81" i="5"/>
  <c r="B11" i="3"/>
  <c r="B40" i="3" s="1"/>
  <c r="J53" i="5"/>
  <c r="I53" i="5"/>
  <c r="B39" i="3"/>
  <c r="M156" i="5"/>
  <c r="M126" i="5"/>
  <c r="M66" i="5"/>
  <c r="H166" i="5"/>
  <c r="H136" i="5"/>
  <c r="H106" i="5"/>
  <c r="H76" i="5"/>
  <c r="H156" i="5"/>
  <c r="H126" i="5"/>
  <c r="H66" i="5"/>
  <c r="H158" i="5"/>
  <c r="H159" i="5"/>
  <c r="H99" i="5"/>
  <c r="H128" i="5"/>
  <c r="H129" i="5"/>
  <c r="H98" i="5"/>
  <c r="H68" i="5"/>
  <c r="H69" i="5"/>
  <c r="H164" i="5"/>
  <c r="H134" i="5"/>
  <c r="K166" i="5"/>
  <c r="K106" i="5"/>
  <c r="K136" i="5"/>
  <c r="K76" i="5"/>
  <c r="M164" i="5"/>
  <c r="M134" i="5"/>
  <c r="M60" i="9"/>
  <c r="M64" i="9"/>
  <c r="K156" i="5"/>
  <c r="K126" i="5"/>
  <c r="K66" i="5"/>
  <c r="K158" i="5"/>
  <c r="K159" i="5"/>
  <c r="K128" i="5"/>
  <c r="K98" i="5"/>
  <c r="K129" i="5"/>
  <c r="K99" i="5"/>
  <c r="K69" i="5"/>
  <c r="K68" i="5"/>
  <c r="L164" i="5"/>
  <c r="L169" i="5" s="1"/>
  <c r="L177" i="5" s="1"/>
  <c r="L181" i="5" s="1"/>
  <c r="L134" i="5"/>
  <c r="L139" i="5" s="1"/>
  <c r="L147" i="5" s="1"/>
  <c r="L151" i="5" s="1"/>
  <c r="L79" i="5"/>
  <c r="L87" i="5" s="1"/>
  <c r="L91" i="5" s="1"/>
  <c r="M166" i="5"/>
  <c r="M136" i="5"/>
  <c r="M106" i="5"/>
  <c r="M76" i="5"/>
  <c r="M63" i="9"/>
  <c r="M65" i="9"/>
  <c r="B8" i="3"/>
  <c r="B37" i="3" s="1"/>
  <c r="G53" i="5"/>
  <c r="G59" i="5" s="1"/>
  <c r="L100" i="5"/>
  <c r="H100" i="5"/>
  <c r="M100" i="5"/>
  <c r="J100" i="5"/>
  <c r="N100" i="5"/>
  <c r="K100" i="5"/>
  <c r="I100" i="5"/>
  <c r="I97" i="5"/>
  <c r="M97" i="5"/>
  <c r="J97" i="5"/>
  <c r="K97" i="5"/>
  <c r="L97" i="5"/>
  <c r="H97" i="5"/>
  <c r="N97" i="5"/>
  <c r="L96" i="5"/>
  <c r="I96" i="5"/>
  <c r="J96" i="5"/>
  <c r="N96" i="5"/>
  <c r="H96" i="5"/>
  <c r="K96" i="5"/>
  <c r="G109" i="5"/>
  <c r="M96" i="5"/>
  <c r="M34" i="9"/>
  <c r="M27" i="9"/>
  <c r="M31" i="9"/>
  <c r="M28" i="9"/>
  <c r="M32" i="9"/>
  <c r="M33" i="9"/>
  <c r="M23" i="9"/>
  <c r="M12" i="9"/>
  <c r="M41" i="9"/>
  <c r="M13" i="9"/>
  <c r="M9" i="9"/>
  <c r="M43" i="9"/>
  <c r="M7" i="9"/>
  <c r="H58" i="5"/>
  <c r="J58" i="5"/>
  <c r="H31" i="5"/>
  <c r="H49" i="5"/>
  <c r="I58" i="5"/>
  <c r="L177" i="7" l="1"/>
  <c r="H11" i="2" s="1"/>
  <c r="H43" i="2" s="1"/>
  <c r="F29" i="12" s="1"/>
  <c r="L147" i="7"/>
  <c r="H10" i="2" s="1"/>
  <c r="H42" i="2" s="1"/>
  <c r="F19" i="12" s="1"/>
  <c r="K163" i="7"/>
  <c r="K173" i="7" s="1"/>
  <c r="K133" i="7"/>
  <c r="K143" i="7" s="1"/>
  <c r="K103" i="7"/>
  <c r="K113" i="7" s="1"/>
  <c r="K117" i="7" s="1"/>
  <c r="G9" i="2" s="1"/>
  <c r="H40" i="2"/>
  <c r="E19" i="12" s="1"/>
  <c r="G40" i="2"/>
  <c r="E18" i="12" s="1"/>
  <c r="H41" i="2"/>
  <c r="E29" i="12" s="1"/>
  <c r="O68" i="11"/>
  <c r="O47" i="11"/>
  <c r="H50" i="11"/>
  <c r="H71" i="11"/>
  <c r="O46" i="11"/>
  <c r="O67" i="11"/>
  <c r="O84" i="5"/>
  <c r="O144" i="5"/>
  <c r="O55" i="11"/>
  <c r="O76" i="11"/>
  <c r="O140" i="7"/>
  <c r="M133" i="7"/>
  <c r="M143" i="7" s="1"/>
  <c r="H65" i="7"/>
  <c r="H73" i="7" s="1"/>
  <c r="H83" i="7" s="1"/>
  <c r="H87" i="7" s="1"/>
  <c r="D8" i="2" s="1"/>
  <c r="H95" i="7"/>
  <c r="H103" i="7" s="1"/>
  <c r="H113" i="7" s="1"/>
  <c r="H117" i="7" s="1"/>
  <c r="D9" i="2" s="1"/>
  <c r="H125" i="7"/>
  <c r="H133" i="7" s="1"/>
  <c r="H143" i="7" s="1"/>
  <c r="H155" i="7"/>
  <c r="H163" i="7" s="1"/>
  <c r="H173" i="7" s="1"/>
  <c r="O110" i="7"/>
  <c r="O170" i="7"/>
  <c r="O155" i="5"/>
  <c r="O125" i="5"/>
  <c r="O95" i="5"/>
  <c r="O65" i="5"/>
  <c r="O80" i="7"/>
  <c r="M103" i="7"/>
  <c r="M113" i="7" s="1"/>
  <c r="M117" i="7" s="1"/>
  <c r="I9" i="2" s="1"/>
  <c r="O114" i="5"/>
  <c r="O174" i="5"/>
  <c r="M73" i="7"/>
  <c r="M83" i="7" s="1"/>
  <c r="M87" i="7" s="1"/>
  <c r="I8" i="2" s="1"/>
  <c r="M163" i="7"/>
  <c r="M173" i="7" s="1"/>
  <c r="O66" i="7"/>
  <c r="O156" i="7"/>
  <c r="O96" i="7"/>
  <c r="O126" i="7"/>
  <c r="O153" i="7"/>
  <c r="O93" i="7"/>
  <c r="O123" i="7"/>
  <c r="O63" i="7"/>
  <c r="O99" i="7"/>
  <c r="O69" i="7"/>
  <c r="O129" i="7"/>
  <c r="O159" i="7"/>
  <c r="O157" i="7"/>
  <c r="O67" i="7"/>
  <c r="O127" i="7"/>
  <c r="O97" i="7"/>
  <c r="O125" i="7"/>
  <c r="O155" i="7"/>
  <c r="O95" i="7"/>
  <c r="O65" i="7"/>
  <c r="G10" i="3"/>
  <c r="G39" i="3" s="1"/>
  <c r="C19" i="12" s="1"/>
  <c r="G11" i="3"/>
  <c r="G40" i="3" s="1"/>
  <c r="C29" i="12" s="1"/>
  <c r="G8" i="3"/>
  <c r="G37" i="3" s="1"/>
  <c r="B19" i="12" s="1"/>
  <c r="K79" i="5"/>
  <c r="K87" i="5" s="1"/>
  <c r="K91" i="5" s="1"/>
  <c r="M61" i="9"/>
  <c r="M79" i="5"/>
  <c r="M87" i="5" s="1"/>
  <c r="M91" i="5" s="1"/>
  <c r="O157" i="5"/>
  <c r="O127" i="5"/>
  <c r="O67" i="5"/>
  <c r="N109" i="5"/>
  <c r="N117" i="5" s="1"/>
  <c r="N121" i="5" s="1"/>
  <c r="K139" i="5"/>
  <c r="K147" i="5" s="1"/>
  <c r="K151" i="5" s="1"/>
  <c r="H79" i="5"/>
  <c r="H87" i="5" s="1"/>
  <c r="M139" i="5"/>
  <c r="M147" i="5" s="1"/>
  <c r="M151" i="5" s="1"/>
  <c r="K169" i="5"/>
  <c r="K177" i="5" s="1"/>
  <c r="K181" i="5" s="1"/>
  <c r="H139" i="5"/>
  <c r="M169" i="5"/>
  <c r="M177" i="5" s="1"/>
  <c r="M181" i="5" s="1"/>
  <c r="O160" i="5"/>
  <c r="O130" i="5"/>
  <c r="O70" i="5"/>
  <c r="O100" i="5"/>
  <c r="M59" i="9"/>
  <c r="O162" i="5"/>
  <c r="O161" i="5"/>
  <c r="O163" i="5"/>
  <c r="O165" i="5"/>
  <c r="O132" i="5"/>
  <c r="O133" i="5"/>
  <c r="O102" i="5"/>
  <c r="O131" i="5"/>
  <c r="O135" i="5"/>
  <c r="O101" i="5"/>
  <c r="O105" i="5"/>
  <c r="O103" i="5"/>
  <c r="O73" i="5"/>
  <c r="O71" i="5"/>
  <c r="O72" i="5"/>
  <c r="O75" i="5"/>
  <c r="M109" i="5"/>
  <c r="M117" i="5" s="1"/>
  <c r="M121" i="5" s="1"/>
  <c r="H109" i="5"/>
  <c r="H117" i="5" s="1"/>
  <c r="H121" i="5" s="1"/>
  <c r="L109" i="5"/>
  <c r="L117" i="5" s="1"/>
  <c r="L121" i="5" s="1"/>
  <c r="H169" i="5"/>
  <c r="H53" i="5"/>
  <c r="H59" i="5" s="1"/>
  <c r="J109" i="5"/>
  <c r="J117" i="5" s="1"/>
  <c r="J121" i="5" s="1"/>
  <c r="K109" i="5"/>
  <c r="K117" i="5" s="1"/>
  <c r="K121" i="5" s="1"/>
  <c r="B38" i="3"/>
  <c r="I109" i="5"/>
  <c r="I117" i="5" s="1"/>
  <c r="I121" i="5" s="1"/>
  <c r="M24" i="9"/>
  <c r="M30" i="9"/>
  <c r="M26" i="9"/>
  <c r="M29" i="9"/>
  <c r="I59" i="5"/>
  <c r="J59" i="5"/>
  <c r="O50" i="11" l="1"/>
  <c r="M177" i="7"/>
  <c r="I11" i="2" s="1"/>
  <c r="I43" i="2" s="1"/>
  <c r="F30" i="12" s="1"/>
  <c r="H177" i="7"/>
  <c r="D11" i="2" s="1"/>
  <c r="D43" i="2" s="1"/>
  <c r="F25" i="12" s="1"/>
  <c r="M147" i="7"/>
  <c r="I10" i="2" s="1"/>
  <c r="I42" i="2" s="1"/>
  <c r="F20" i="12" s="1"/>
  <c r="K147" i="7"/>
  <c r="G10" i="2" s="1"/>
  <c r="G42" i="2" s="1"/>
  <c r="F18" i="12" s="1"/>
  <c r="H147" i="7"/>
  <c r="D10" i="2" s="1"/>
  <c r="D42" i="2" s="1"/>
  <c r="F15" i="12" s="1"/>
  <c r="K177" i="7"/>
  <c r="G11" i="2" s="1"/>
  <c r="G43" i="2" s="1"/>
  <c r="F28" i="12" s="1"/>
  <c r="I41" i="2"/>
  <c r="E30" i="12" s="1"/>
  <c r="D40" i="2"/>
  <c r="E15" i="12" s="1"/>
  <c r="O71" i="11"/>
  <c r="O79" i="11" s="1"/>
  <c r="O83" i="11" s="1"/>
  <c r="K9" i="4" s="1"/>
  <c r="G41" i="2"/>
  <c r="E28" i="12" s="1"/>
  <c r="D41" i="2"/>
  <c r="E25" i="12" s="1"/>
  <c r="I40" i="2"/>
  <c r="E20" i="12" s="1"/>
  <c r="H58" i="11"/>
  <c r="H62" i="11" s="1"/>
  <c r="D8" i="4" s="1"/>
  <c r="D39" i="4" s="1"/>
  <c r="H15" i="12" s="1"/>
  <c r="H79" i="11"/>
  <c r="H83" i="11" s="1"/>
  <c r="D9" i="4" s="1"/>
  <c r="D40" i="4" s="1"/>
  <c r="H25" i="12" s="1"/>
  <c r="K19" i="12"/>
  <c r="B33" i="14" s="1"/>
  <c r="O58" i="11"/>
  <c r="O122" i="7"/>
  <c r="O152" i="7"/>
  <c r="O92" i="7"/>
  <c r="O62" i="7"/>
  <c r="O154" i="7"/>
  <c r="O124" i="7"/>
  <c r="O94" i="7"/>
  <c r="O64" i="7"/>
  <c r="F9" i="3"/>
  <c r="F38" i="3" s="1"/>
  <c r="B28" i="12" s="1"/>
  <c r="H9" i="3"/>
  <c r="H38" i="3" s="1"/>
  <c r="B30" i="12" s="1"/>
  <c r="H11" i="3"/>
  <c r="H40" i="3" s="1"/>
  <c r="C30" i="12" s="1"/>
  <c r="D9" i="3"/>
  <c r="D38" i="3" s="1"/>
  <c r="E9" i="3"/>
  <c r="E38" i="3" s="1"/>
  <c r="F10" i="3"/>
  <c r="F39" i="3" s="1"/>
  <c r="C18" i="12" s="1"/>
  <c r="C9" i="3"/>
  <c r="C38" i="3" s="1"/>
  <c r="B25" i="12" s="1"/>
  <c r="G9" i="3"/>
  <c r="G38" i="3" s="1"/>
  <c r="F11" i="3"/>
  <c r="F40" i="3" s="1"/>
  <c r="C28" i="12" s="1"/>
  <c r="I9" i="3"/>
  <c r="I38" i="3" s="1"/>
  <c r="H10" i="3"/>
  <c r="H39" i="3" s="1"/>
  <c r="C20" i="12" s="1"/>
  <c r="H8" i="3"/>
  <c r="H37" i="3" s="1"/>
  <c r="B20" i="12" s="1"/>
  <c r="F8" i="3"/>
  <c r="F37" i="3" s="1"/>
  <c r="B18" i="12" s="1"/>
  <c r="H147" i="5"/>
  <c r="H91" i="5"/>
  <c r="O158" i="5"/>
  <c r="O159" i="5"/>
  <c r="O98" i="5"/>
  <c r="O128" i="5"/>
  <c r="O129" i="5"/>
  <c r="O99" i="5"/>
  <c r="O69" i="5"/>
  <c r="O68" i="5"/>
  <c r="O156" i="5"/>
  <c r="O126" i="5"/>
  <c r="O66" i="5"/>
  <c r="O96" i="5"/>
  <c r="O164" i="5"/>
  <c r="O134" i="5"/>
  <c r="O166" i="5"/>
  <c r="O136" i="5"/>
  <c r="O106" i="5"/>
  <c r="O76" i="5"/>
  <c r="H177" i="5"/>
  <c r="B31" i="12" l="1"/>
  <c r="K31" i="12" s="1"/>
  <c r="C35" i="14" s="1"/>
  <c r="B27" i="12"/>
  <c r="K27" i="12" s="1"/>
  <c r="C31" i="14" s="1"/>
  <c r="B29" i="12"/>
  <c r="K29" i="12" s="1"/>
  <c r="C33" i="14" s="1"/>
  <c r="B26" i="12"/>
  <c r="K26" i="12" s="1"/>
  <c r="C30" i="14" s="1"/>
  <c r="K40" i="4"/>
  <c r="K30" i="12"/>
  <c r="C34" i="14" s="1"/>
  <c r="K18" i="12"/>
  <c r="K28" i="12"/>
  <c r="C32" i="14" s="1"/>
  <c r="K20" i="12"/>
  <c r="B34" i="14" s="1"/>
  <c r="O62" i="11"/>
  <c r="K8" i="4" s="1"/>
  <c r="O103" i="7"/>
  <c r="O163" i="7"/>
  <c r="O73" i="7"/>
  <c r="O133" i="7"/>
  <c r="O169" i="5"/>
  <c r="O79" i="5"/>
  <c r="O87" i="5" s="1"/>
  <c r="O91" i="5" s="1"/>
  <c r="H151" i="5"/>
  <c r="O109" i="5"/>
  <c r="O117" i="5" s="1"/>
  <c r="H181" i="5"/>
  <c r="O139" i="5"/>
  <c r="C8" i="3"/>
  <c r="C37" i="3" s="1"/>
  <c r="B15" i="12" s="1"/>
  <c r="H5" i="12" l="1"/>
  <c r="B32" i="14"/>
  <c r="H8" i="12"/>
  <c r="O177" i="5"/>
  <c r="O181" i="5" s="1"/>
  <c r="H32" i="12"/>
  <c r="H33" i="12" s="1"/>
  <c r="K39" i="4"/>
  <c r="O83" i="7"/>
  <c r="O173" i="7"/>
  <c r="O143" i="7"/>
  <c r="O113" i="7"/>
  <c r="J8" i="3"/>
  <c r="J37" i="3" s="1"/>
  <c r="B22" i="12" s="1"/>
  <c r="C11" i="3"/>
  <c r="C40" i="3" s="1"/>
  <c r="C25" i="12" s="1"/>
  <c r="C10" i="3"/>
  <c r="C39" i="3" s="1"/>
  <c r="C15" i="12" s="1"/>
  <c r="O147" i="5"/>
  <c r="O121" i="5"/>
  <c r="J11" i="3" l="1"/>
  <c r="J40" i="3" s="1"/>
  <c r="C32" i="12" s="1"/>
  <c r="H22" i="12"/>
  <c r="H23" i="12" s="1"/>
  <c r="B23" i="12"/>
  <c r="O117" i="7"/>
  <c r="K9" i="2" s="1"/>
  <c r="K41" i="2" s="1"/>
  <c r="O87" i="7"/>
  <c r="K8" i="2" s="1"/>
  <c r="K40" i="2" s="1"/>
  <c r="O147" i="7"/>
  <c r="K10" i="2" s="1"/>
  <c r="K42" i="2" s="1"/>
  <c r="O177" i="7"/>
  <c r="K11" i="2" s="1"/>
  <c r="K43" i="2" s="1"/>
  <c r="J9" i="3"/>
  <c r="J38" i="3" s="1"/>
  <c r="B32" i="12" s="1"/>
  <c r="O151" i="5"/>
  <c r="K25" i="12" l="1"/>
  <c r="C29" i="14" s="1"/>
  <c r="C33" i="12"/>
  <c r="K15" i="12"/>
  <c r="B29" i="14" s="1"/>
  <c r="F32" i="12"/>
  <c r="B33" i="12"/>
  <c r="E22" i="12"/>
  <c r="F22" i="12"/>
  <c r="E32" i="12"/>
  <c r="J10" i="3"/>
  <c r="J39" i="3" s="1"/>
  <c r="C22" i="12" s="1"/>
  <c r="C23" i="12" l="1"/>
  <c r="F23" i="12" l="1"/>
  <c r="E23" i="12"/>
  <c r="F33" i="12"/>
  <c r="E33" i="12"/>
  <c r="K33" i="12" l="1"/>
  <c r="H9" i="12" s="1"/>
  <c r="I8" i="12" s="1"/>
  <c r="K22" i="12"/>
  <c r="B36" i="14" s="1"/>
  <c r="B37" i="14" s="1"/>
  <c r="K32" i="12"/>
  <c r="C36" i="14" s="1"/>
  <c r="C37" i="14" s="1"/>
  <c r="K23" i="12" l="1"/>
  <c r="H6" i="12" l="1"/>
  <c r="I5" i="12" s="1"/>
</calcChain>
</file>

<file path=xl/comments1.xml><?xml version="1.0" encoding="utf-8"?>
<comments xmlns="http://schemas.openxmlformats.org/spreadsheetml/2006/main">
  <authors>
    <author>Uli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3.5 t Kia truck
2.29 trips at C 200 = C457
</t>
        </r>
      </text>
    </comment>
  </commentList>
</comments>
</file>

<file path=xl/comments2.xml><?xml version="1.0" encoding="utf-8"?>
<comments xmlns="http://schemas.openxmlformats.org/spreadsheetml/2006/main">
  <authors>
    <author>Uli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Value of tractor GhC160,000;
Lifespan: 8000 hours
Fuel: 1 gallon = 11.56 GhC (iimport element)
Plough/ridger=30000/8000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For tractor driver = 7 C
Food = 2 C
Maintenance = 5 C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Interest paid by tractor owner; also insurance cost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Fuel tax, plus other charges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Uli:</t>
        </r>
        <r>
          <rPr>
            <sz val="9"/>
            <color indexed="81"/>
            <rFont val="Tahoma"/>
            <family val="2"/>
          </rPr>
          <t xml:space="preserve">
Loan for buying chemicals by agro-dealers
</t>
        </r>
      </text>
    </comment>
  </commentList>
</comments>
</file>

<file path=xl/sharedStrings.xml><?xml version="1.0" encoding="utf-8"?>
<sst xmlns="http://schemas.openxmlformats.org/spreadsheetml/2006/main" count="1253" uniqueCount="319">
  <si>
    <t>Crop:</t>
  </si>
  <si>
    <t>Cassava</t>
  </si>
  <si>
    <t>Production:</t>
  </si>
  <si>
    <t>tonnes</t>
  </si>
  <si>
    <t>Yield:</t>
  </si>
  <si>
    <t>t/ha</t>
  </si>
  <si>
    <t>hectares</t>
  </si>
  <si>
    <t>Prices - average prices for main products, and by-products</t>
  </si>
  <si>
    <t>GhC/t</t>
  </si>
  <si>
    <t>Achievable</t>
  </si>
  <si>
    <t>farm</t>
  </si>
  <si>
    <t>Type of production</t>
  </si>
  <si>
    <t>Value of production</t>
  </si>
  <si>
    <t>Sales revenue + home consumption</t>
  </si>
  <si>
    <t>Intermediate Goods and Services (IGS)</t>
  </si>
  <si>
    <t>Tools (hoe, cutlass)</t>
  </si>
  <si>
    <t>Transportation of planting material</t>
  </si>
  <si>
    <t>Planting materials</t>
  </si>
  <si>
    <t>Tractor hire for ploughing</t>
  </si>
  <si>
    <t>Tractor for ridging</t>
  </si>
  <si>
    <t>Chemicals (weedicide)</t>
  </si>
  <si>
    <t>Fertiliser (liquid)</t>
  </si>
  <si>
    <t>Fertiliser (NPK)</t>
  </si>
  <si>
    <t>Transportation of roots</t>
  </si>
  <si>
    <t>Organic fertiliser</t>
  </si>
  <si>
    <t>Fuel (for tractors, trucks)</t>
  </si>
  <si>
    <t>Other</t>
  </si>
  <si>
    <t>Total IGS</t>
  </si>
  <si>
    <t>Value addition</t>
  </si>
  <si>
    <t>Value of land</t>
  </si>
  <si>
    <t>Value of labour inputs</t>
  </si>
  <si>
    <t>Land preparation  (clearing)</t>
  </si>
  <si>
    <t>Land preparation (hoeing)</t>
  </si>
  <si>
    <t>Fire belting and burning</t>
  </si>
  <si>
    <t>Ridging</t>
  </si>
  <si>
    <t>Carrying of planting material</t>
  </si>
  <si>
    <t>Planting</t>
  </si>
  <si>
    <t>Weeding 1</t>
  </si>
  <si>
    <t>Weeding 2</t>
  </si>
  <si>
    <t>Weeding 3</t>
  </si>
  <si>
    <t>Spraying and water coll 1</t>
  </si>
  <si>
    <t>Spraying and water coll 2</t>
  </si>
  <si>
    <t>Harvesting</t>
  </si>
  <si>
    <t>Aggregating and loading</t>
  </si>
  <si>
    <t>Total labour</t>
  </si>
  <si>
    <t>Financial charges</t>
  </si>
  <si>
    <t>Taxes / duties</t>
  </si>
  <si>
    <t>Subsidies</t>
  </si>
  <si>
    <t>Gross profit</t>
  </si>
  <si>
    <t>Depreciation</t>
  </si>
  <si>
    <t>Tractor</t>
  </si>
  <si>
    <t>Kia-Truck</t>
  </si>
  <si>
    <t>Total depreciation</t>
  </si>
  <si>
    <t>Net profit</t>
  </si>
  <si>
    <t>MotoKing</t>
  </si>
  <si>
    <t>Fertiliser (Urea)</t>
  </si>
  <si>
    <t>Other 1</t>
  </si>
  <si>
    <t>Other 2</t>
  </si>
  <si>
    <t xml:space="preserve">Crop: </t>
  </si>
  <si>
    <t>Smallholder</t>
  </si>
  <si>
    <t>Comm/large</t>
  </si>
  <si>
    <t>Production</t>
  </si>
  <si>
    <t>GhC/acre</t>
  </si>
  <si>
    <t>Breakdown of Intermediate Goods and Services (production)</t>
  </si>
  <si>
    <t>IGS</t>
  </si>
  <si>
    <t>Imports</t>
  </si>
  <si>
    <t>local</t>
  </si>
  <si>
    <t>Land value</t>
  </si>
  <si>
    <t>Labour value</t>
  </si>
  <si>
    <t>Taxes/Dues</t>
  </si>
  <si>
    <t>Gross Profit</t>
  </si>
  <si>
    <t>Chemicals</t>
  </si>
  <si>
    <t>Fuel (diesel for tractors, trucks)</t>
  </si>
  <si>
    <t>Electricity</t>
  </si>
  <si>
    <t>Water</t>
  </si>
  <si>
    <t>Breakdown of Intermediate Goods and Services (Processing)</t>
  </si>
  <si>
    <t>Cost of cassava</t>
  </si>
  <si>
    <t>Transport of cassava</t>
  </si>
  <si>
    <t>Use of grating, etc facility</t>
  </si>
  <si>
    <t>Fuel for grating</t>
  </si>
  <si>
    <t>Fuel for generator</t>
  </si>
  <si>
    <t>Cost of sacks (for mash)</t>
  </si>
  <si>
    <t>Fuelwood</t>
  </si>
  <si>
    <t>Sacks (for gari)</t>
  </si>
  <si>
    <t>Breakdown of cost elements to be depreciated</t>
  </si>
  <si>
    <t>Annual</t>
  </si>
  <si>
    <t>cost</t>
  </si>
  <si>
    <t>Building</t>
  </si>
  <si>
    <t>Grater</t>
  </si>
  <si>
    <t>Engine</t>
  </si>
  <si>
    <t>Press</t>
  </si>
  <si>
    <t>Oven/pan</t>
  </si>
  <si>
    <t>Kia truck (used)</t>
  </si>
  <si>
    <t>Yield (t or otherwise), by-product such as stems</t>
  </si>
  <si>
    <t>Yield (tonnes), main product such as roots</t>
  </si>
  <si>
    <t>Brong Ahafo</t>
  </si>
  <si>
    <t>Sales/revenue</t>
  </si>
  <si>
    <t>Intermediate Goods and Services</t>
  </si>
  <si>
    <t>Use of grating, pressing and frying facility</t>
  </si>
  <si>
    <t>Servicing</t>
  </si>
  <si>
    <t>Transport of staff</t>
  </si>
  <si>
    <t>Overhead costs</t>
  </si>
  <si>
    <t>Aggregation</t>
  </si>
  <si>
    <t>Loading</t>
  </si>
  <si>
    <t>Off-loading</t>
  </si>
  <si>
    <t>Peeling, carrying to grater, and to fermentation box</t>
  </si>
  <si>
    <t>Grating</t>
  </si>
  <si>
    <t>Pressing</t>
  </si>
  <si>
    <t>Frying</t>
  </si>
  <si>
    <t>Sieving</t>
  </si>
  <si>
    <t>Filling into sack (Packing)</t>
  </si>
  <si>
    <t>Permanent labour</t>
  </si>
  <si>
    <t>Type of processing</t>
  </si>
  <si>
    <t xml:space="preserve">Product: </t>
  </si>
  <si>
    <t>Gari</t>
  </si>
  <si>
    <t>facility</t>
  </si>
  <si>
    <t>Medium</t>
  </si>
  <si>
    <t>Output of main product (tonnes/week)</t>
  </si>
  <si>
    <t>Output of by-product (tonnes/week or otherwise)</t>
  </si>
  <si>
    <t>Sales price (per tonne of main product)</t>
  </si>
  <si>
    <t>Sales price (per tonne of by-product, or otherwise)</t>
  </si>
  <si>
    <t>HQCF</t>
  </si>
  <si>
    <t>Processing weeks p.a.</t>
  </si>
  <si>
    <t>Small-scale</t>
  </si>
  <si>
    <t>Option 1</t>
  </si>
  <si>
    <t>Option 2</t>
  </si>
  <si>
    <t>Option 3</t>
  </si>
  <si>
    <t>Option 4</t>
  </si>
  <si>
    <t>Costs (GhC)</t>
  </si>
  <si>
    <t>Percentages (based on above)</t>
  </si>
  <si>
    <t>Years (life)</t>
  </si>
  <si>
    <t>Sales price, main product (per tonne)</t>
  </si>
  <si>
    <t>Intermediate Goods and Services (IGS) - value addition</t>
  </si>
  <si>
    <t>Cost (GhC)</t>
  </si>
  <si>
    <t>?</t>
  </si>
  <si>
    <t>Total IGS (break-down of value addition)</t>
  </si>
  <si>
    <t>(GhC/acre)</t>
  </si>
  <si>
    <t>Total depreciation (break-down of value addition)</t>
  </si>
  <si>
    <t>Net Profit</t>
  </si>
  <si>
    <t>Option 1:</t>
  </si>
  <si>
    <t>Option 2:</t>
  </si>
  <si>
    <t>Option 3:</t>
  </si>
  <si>
    <t>Option 4:</t>
  </si>
  <si>
    <t>Region:</t>
  </si>
  <si>
    <t>Average (current) or achievable (upgraded) production</t>
  </si>
  <si>
    <t>IGS Imports</t>
  </si>
  <si>
    <t>IGS local</t>
  </si>
  <si>
    <t>Results for indvidual plots of 1 acre</t>
  </si>
  <si>
    <t>estimate</t>
  </si>
  <si>
    <t>Agbelima</t>
  </si>
  <si>
    <t>e.g. planting material</t>
  </si>
  <si>
    <t>Utilisation of crop - products and percentages of utilisation</t>
  </si>
  <si>
    <t>Fufu/fresh cassava</t>
  </si>
  <si>
    <t>Area planted (total):</t>
  </si>
  <si>
    <t>Smallholder farmers:</t>
  </si>
  <si>
    <t>Commercial/large-scale:</t>
  </si>
  <si>
    <t>Fresh produce:</t>
  </si>
  <si>
    <t>By-product 1:</t>
  </si>
  <si>
    <t>By-product 2:</t>
  </si>
  <si>
    <t>Processed product 1:</t>
  </si>
  <si>
    <t>Processed product 2:</t>
  </si>
  <si>
    <t>Processed product 3:</t>
  </si>
  <si>
    <t>Processed product 4:</t>
  </si>
  <si>
    <t>Processed product 5:</t>
  </si>
  <si>
    <t>Product 1:</t>
  </si>
  <si>
    <t>Product 2:</t>
  </si>
  <si>
    <t>Product 3:</t>
  </si>
  <si>
    <t>Product 4:</t>
  </si>
  <si>
    <t>Product 5:</t>
  </si>
  <si>
    <t>IGS Local</t>
  </si>
  <si>
    <t>Taxes/dues</t>
  </si>
  <si>
    <t>Av farm, SH</t>
  </si>
  <si>
    <t>Av  farm, CF/LS</t>
  </si>
  <si>
    <t>Value chain:</t>
  </si>
  <si>
    <t>Achievable situation</t>
  </si>
  <si>
    <t>Frying pans/oven</t>
  </si>
  <si>
    <t>(GhC p.a.)</t>
  </si>
  <si>
    <t>Break-down of value addition of Intermediate Goods and Services (IGS) and Depreciation (per annum)</t>
  </si>
  <si>
    <t>Taken out to avoid double-counting</t>
  </si>
  <si>
    <t>GhC p.a.</t>
  </si>
  <si>
    <t>Overhead/various costs</t>
  </si>
  <si>
    <t>tonnes of roots</t>
  </si>
  <si>
    <t>tonnes of gari</t>
  </si>
  <si>
    <t>Raw material</t>
  </si>
  <si>
    <t>21% conversion rate</t>
  </si>
  <si>
    <t>25% conversion rate</t>
  </si>
  <si>
    <t>Gari production</t>
  </si>
  <si>
    <t>Conversion factors:</t>
  </si>
  <si>
    <t>Calculation: above figures multiplied by number of enterprises</t>
  </si>
  <si>
    <t>Taxes/Duties</t>
  </si>
  <si>
    <t>Av facility Small</t>
  </si>
  <si>
    <t>Av facility, med</t>
  </si>
  <si>
    <t>Location</t>
  </si>
  <si>
    <t xml:space="preserve">Output/sales (tonnes/week) </t>
  </si>
  <si>
    <t>Sales price (per tonne)</t>
  </si>
  <si>
    <t>Fuel for transport</t>
  </si>
  <si>
    <t>Cost of sacks</t>
  </si>
  <si>
    <t>Value of labour</t>
  </si>
  <si>
    <t>Taxes / duties (way billing)</t>
  </si>
  <si>
    <t>Truck</t>
  </si>
  <si>
    <t>Filling into sacks (Packing)</t>
  </si>
  <si>
    <t>Type of production/trading</t>
  </si>
  <si>
    <t>Wholesale</t>
  </si>
  <si>
    <t>Breakdown of Intermediate Goods and Services (Trading)</t>
  </si>
  <si>
    <t>Fuel for transport (diesel for truck)</t>
  </si>
  <si>
    <t>Trading weeks p.a.</t>
  </si>
  <si>
    <t>GhC/week</t>
  </si>
  <si>
    <t>Wholesale traders</t>
  </si>
  <si>
    <t>Half of this is home consumption; other half is for sale</t>
  </si>
  <si>
    <t xml:space="preserve">tonnes of roots </t>
  </si>
  <si>
    <t>Wholesale trade of fresh cassava for fufu</t>
  </si>
  <si>
    <t>Average wholesale trader</t>
  </si>
  <si>
    <t>Achievable wholesale trader</t>
  </si>
  <si>
    <t>Av facility, small</t>
  </si>
  <si>
    <t>Production/Sales</t>
  </si>
  <si>
    <t>Current, average wholesale trader</t>
  </si>
  <si>
    <t>Future, achievable wholesale trader</t>
  </si>
  <si>
    <t>Production/sales</t>
  </si>
  <si>
    <t>Value Addition for Entire Region (in GhC per annum)</t>
  </si>
  <si>
    <t>Total, current</t>
  </si>
  <si>
    <t>Total, achievable</t>
  </si>
  <si>
    <t>Total value addition</t>
  </si>
  <si>
    <t>Processing:</t>
  </si>
  <si>
    <t>Trading:</t>
  </si>
  <si>
    <t>considered</t>
  </si>
  <si>
    <t>Sums</t>
  </si>
  <si>
    <t>21% - 25%</t>
  </si>
  <si>
    <t>Value chain map:</t>
  </si>
  <si>
    <t>Current, average situation</t>
  </si>
  <si>
    <t>Trading (fresh, WS)</t>
  </si>
  <si>
    <t>Sum</t>
  </si>
  <si>
    <t>improvements</t>
  </si>
  <si>
    <t>Improved conversion ratios of fresh cassava roots into gari (from 21% to 25%)</t>
  </si>
  <si>
    <t>Improved planting material, good agricultural practices (higher yields)</t>
  </si>
  <si>
    <t>Av wholesale trader</t>
  </si>
  <si>
    <t>Value of root production (GhC)</t>
  </si>
  <si>
    <t>Production of roots</t>
  </si>
  <si>
    <t>GhC/t (average annual price, farmgate)</t>
  </si>
  <si>
    <t>30% of total production (raw material)</t>
  </si>
  <si>
    <t>Stages:</t>
  </si>
  <si>
    <t>Average farm, Smallholder (current situation)</t>
  </si>
  <si>
    <t>Average farm, Commercial/Large (current situation)</t>
  </si>
  <si>
    <t>Achievable farm, Smallholder (possible future situation)</t>
  </si>
  <si>
    <t>Achievable farm, Commercial/Large (possible future situation)</t>
  </si>
  <si>
    <t>Figures for entire region are below</t>
  </si>
  <si>
    <t>Average facility, small-scale (current situation)</t>
  </si>
  <si>
    <t>Achievable facility, small-scale (possible future situation)</t>
  </si>
  <si>
    <t>Average facility, medium (current situation)</t>
  </si>
  <si>
    <t>Achievable facility, medium (possible future situation)</t>
  </si>
  <si>
    <t>Production/output</t>
  </si>
  <si>
    <t>No losses of fresh roots traded (reduction from 5% to 0%)</t>
  </si>
  <si>
    <t>Value Addition for Production (in GhC/annum)</t>
  </si>
  <si>
    <t>Processing</t>
  </si>
  <si>
    <t>Product:</t>
  </si>
  <si>
    <t>Value addition for entire region (GhC/annum)</t>
  </si>
  <si>
    <t>Processing  - value addition for entire region (GhC/annum)</t>
  </si>
  <si>
    <t>Value Addition for Processing (in GhC/annum)</t>
  </si>
  <si>
    <t>Results for individual enterprises (GhC/facility/annum)</t>
  </si>
  <si>
    <t>Results for individual enterprises (GhC/enterprise/annum)</t>
  </si>
  <si>
    <t>Wholesale trading  - value addition for entire region (GhC/annum)</t>
  </si>
  <si>
    <t>Value Addition for Wholesale Trading of Fresh Produce (in GhC/annum)</t>
  </si>
  <si>
    <t>Sales price, (per t or otherwise), by-product</t>
  </si>
  <si>
    <t>Calculation of Budget and Value Addition per Individual Enterprise - Production (GhC/acre/annum)</t>
  </si>
  <si>
    <t>Fresh roots production</t>
  </si>
  <si>
    <t>Cost of cassava (not taken into account)</t>
  </si>
  <si>
    <t>Small-scale facilities, now</t>
  </si>
  <si>
    <t>Small-scale facilities, future</t>
  </si>
  <si>
    <t>Medium-scale facilities, now</t>
  </si>
  <si>
    <t>Medium-scale facilities, future</t>
  </si>
  <si>
    <t>Performance of VC</t>
  </si>
  <si>
    <t>(at market prices)</t>
  </si>
  <si>
    <t>Factor Cost Ratio (FCR), current</t>
  </si>
  <si>
    <t>Factor Cost Ratio (FCR), achievable</t>
  </si>
  <si>
    <t>Domestic production factors</t>
  </si>
  <si>
    <t>Output - Tradeable inputs</t>
  </si>
  <si>
    <t xml:space="preserve">The FCR shows that overall the value chain is </t>
  </si>
  <si>
    <t>performing well in that the FCR is 0.68 (i.e. &lt;1) in the</t>
  </si>
  <si>
    <t>current situation but improvements can be achieved</t>
  </si>
  <si>
    <t>with measures to be taken at different stages in the</t>
  </si>
  <si>
    <t>value chain as suggested below and in other sheets.</t>
  </si>
  <si>
    <t>(e.g. higher yields, better processing ratios, and no losses</t>
  </si>
  <si>
    <t>at trading level). Current smallholder production shows negative</t>
  </si>
  <si>
    <t>profit if all labour costs are taken into account.</t>
  </si>
  <si>
    <t>Nb. Value of subsidies to be filled in with a minus sign</t>
  </si>
  <si>
    <t>Fertilisers</t>
  </si>
  <si>
    <t>Konkonte</t>
  </si>
  <si>
    <t>Current</t>
  </si>
  <si>
    <t>Finance charges</t>
  </si>
  <si>
    <t>Transportation of roots (long-distance)</t>
  </si>
  <si>
    <t>Transport of roots (short-distance)</t>
  </si>
  <si>
    <t>not taken into account for value addition calculations to avoid double counting</t>
  </si>
  <si>
    <t>Sum of value addition (IGS and depreciation, Option 1)</t>
  </si>
  <si>
    <t>Option 1: Totals of value addition, including net profit</t>
  </si>
  <si>
    <t>Sum of value addition (IGS and depreciation, Option 4)</t>
  </si>
  <si>
    <t>Option 4: Totals of value addition, including net profit</t>
  </si>
  <si>
    <t>Sum of value addition (IGS and depreciation, Option 3)</t>
  </si>
  <si>
    <t>Option 3: Totals of value addition, including net profit</t>
  </si>
  <si>
    <t>Sum of value addition (IGS and depreciation, Option 2)</t>
  </si>
  <si>
    <t>Option 2: Totals of value addition, including net profit</t>
  </si>
  <si>
    <t>Explanations:</t>
  </si>
  <si>
    <t>25% of fresh cassava root production</t>
  </si>
  <si>
    <t>* IGS stands for Intermediate Goods and Services (i.e. inputs that are not directly value added but require a break-down into</t>
  </si>
  <si>
    <t>* All calculations are based on market prices (shadow prices have not been taken into account)</t>
  </si>
  <si>
    <t>* The analysis covers production of fresh cassava roots (entire production), gari processing (entire production), and wholesale trading of fresh roots (25% of root production)</t>
  </si>
  <si>
    <t>* Only yellow fields in the spreadsheets should be filled in</t>
  </si>
  <si>
    <t>Increasing Performance of the Cassava Industry in West and Central Africa Region (IPCI)</t>
  </si>
  <si>
    <t>Background information</t>
  </si>
  <si>
    <t>Spreadsheet model for the calculation of value addition</t>
  </si>
  <si>
    <t>March 2017</t>
  </si>
  <si>
    <t>Project implemented by the Natural Resources Institute of the University of Greenwich</t>
  </si>
  <si>
    <t>Ghana Agricultural Sector Investment Programme (GASIP)</t>
  </si>
  <si>
    <t>GASIP and IPCI are supported by the International Fund for Agricultural Development (IFAD)</t>
  </si>
  <si>
    <t>Part of the Ministry of Food and Agriculture of Ghana</t>
  </si>
  <si>
    <t>Cassava Value Chain Analysis in Brong Ahafo Region, Ghana</t>
  </si>
  <si>
    <t xml:space="preserve">   their components in order to calculate value addition)</t>
  </si>
  <si>
    <t>in collaboration with the Federal University of Agriculture Abeokuta, SNV, and Embrapa</t>
  </si>
  <si>
    <t>Investment costs (GhC)</t>
  </si>
  <si>
    <t>Links to worksheets</t>
  </si>
  <si>
    <t>Breakdown of Intermediate Goods and Services (IGS) and Depreciation into Value Addition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</si>
</sst>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"/>
    <numFmt numFmtId="167" formatCode="0.0%"/>
    <numFmt numFmtId="168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3" borderId="0" xfId="0" applyFont="1" applyFill="1"/>
    <xf numFmtId="0" fontId="5" fillId="3" borderId="0" xfId="0" applyFont="1" applyFill="1"/>
    <xf numFmtId="0" fontId="6" fillId="4" borderId="3" xfId="0" applyFont="1" applyFill="1" applyBorder="1"/>
    <xf numFmtId="0" fontId="0" fillId="5" borderId="0" xfId="0" applyFill="1"/>
    <xf numFmtId="0" fontId="2" fillId="4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/>
    <xf numFmtId="2" fontId="2" fillId="6" borderId="0" xfId="0" applyNumberFormat="1" applyFont="1" applyFill="1"/>
    <xf numFmtId="0" fontId="2" fillId="4" borderId="0" xfId="0" applyFont="1" applyFill="1"/>
    <xf numFmtId="9" fontId="2" fillId="4" borderId="0" xfId="1" applyFont="1" applyFill="1"/>
    <xf numFmtId="3" fontId="10" fillId="4" borderId="0" xfId="0" applyNumberFormat="1" applyFont="1" applyFill="1" applyAlignment="1">
      <alignment horizontal="right" vertical="center" readingOrder="1"/>
    </xf>
    <xf numFmtId="0" fontId="11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0" fillId="4" borderId="0" xfId="0" applyFill="1"/>
    <xf numFmtId="164" fontId="0" fillId="6" borderId="0" xfId="2" applyNumberFormat="1" applyFont="1" applyFill="1"/>
    <xf numFmtId="164" fontId="2" fillId="6" borderId="0" xfId="2" applyNumberFormat="1" applyFont="1" applyFill="1"/>
    <xf numFmtId="164" fontId="2" fillId="6" borderId="0" xfId="0" applyNumberFormat="1" applyFont="1" applyFill="1"/>
    <xf numFmtId="9" fontId="0" fillId="6" borderId="0" xfId="0" applyNumberFormat="1" applyFill="1"/>
    <xf numFmtId="164" fontId="2" fillId="4" borderId="0" xfId="2" applyNumberFormat="1" applyFont="1" applyFill="1"/>
    <xf numFmtId="164" fontId="0" fillId="6" borderId="0" xfId="0" applyNumberFormat="1" applyFill="1"/>
    <xf numFmtId="0" fontId="2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43" fontId="2" fillId="6" borderId="0" xfId="0" applyNumberFormat="1" applyFont="1" applyFill="1"/>
    <xf numFmtId="0" fontId="0" fillId="7" borderId="0" xfId="0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6" fontId="3" fillId="4" borderId="0" xfId="0" applyNumberFormat="1" applyFont="1" applyFill="1"/>
    <xf numFmtId="0" fontId="2" fillId="6" borderId="7" xfId="0" applyFont="1" applyFill="1" applyBorder="1" applyAlignment="1">
      <alignment horizontal="center"/>
    </xf>
    <xf numFmtId="164" fontId="2" fillId="6" borderId="7" xfId="0" applyNumberFormat="1" applyFont="1" applyFill="1" applyBorder="1"/>
    <xf numFmtId="9" fontId="3" fillId="4" borderId="0" xfId="1" applyFont="1" applyFill="1"/>
    <xf numFmtId="0" fontId="0" fillId="6" borderId="0" xfId="0" applyFont="1" applyFill="1"/>
    <xf numFmtId="0" fontId="2" fillId="2" borderId="0" xfId="0" applyFont="1" applyFill="1" applyAlignment="1">
      <alignment horizontal="center"/>
    </xf>
    <xf numFmtId="43" fontId="2" fillId="2" borderId="0" xfId="2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0" fontId="0" fillId="3" borderId="0" xfId="0" applyFont="1" applyFill="1"/>
    <xf numFmtId="0" fontId="2" fillId="3" borderId="0" xfId="0" applyFont="1" applyFill="1"/>
    <xf numFmtId="0" fontId="0" fillId="7" borderId="0" xfId="0" applyFont="1" applyFill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3" fontId="0" fillId="6" borderId="0" xfId="2" applyFont="1" applyFill="1"/>
    <xf numFmtId="43" fontId="2" fillId="6" borderId="0" xfId="2" applyFont="1" applyFill="1"/>
    <xf numFmtId="43" fontId="0" fillId="6" borderId="0" xfId="2" applyFont="1" applyFill="1" applyAlignment="1">
      <alignment horizontal="left"/>
    </xf>
    <xf numFmtId="43" fontId="0" fillId="6" borderId="0" xfId="0" applyNumberFormat="1" applyFill="1"/>
    <xf numFmtId="165" fontId="0" fillId="6" borderId="0" xfId="0" applyNumberFormat="1" applyFill="1"/>
    <xf numFmtId="164" fontId="0" fillId="6" borderId="0" xfId="2" applyNumberFormat="1" applyFont="1" applyFill="1" applyAlignment="1">
      <alignment horizontal="left"/>
    </xf>
    <xf numFmtId="165" fontId="0" fillId="6" borderId="0" xfId="0" applyNumberFormat="1" applyFill="1" applyAlignment="1">
      <alignment horizontal="right"/>
    </xf>
    <xf numFmtId="0" fontId="16" fillId="6" borderId="0" xfId="0" applyFont="1" applyFill="1"/>
    <xf numFmtId="0" fontId="17" fillId="6" borderId="0" xfId="0" applyFont="1" applyFill="1"/>
    <xf numFmtId="1" fontId="0" fillId="6" borderId="0" xfId="0" applyNumberFormat="1" applyFont="1" applyFill="1"/>
    <xf numFmtId="0" fontId="15" fillId="6" borderId="0" xfId="0" applyFont="1" applyFill="1"/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left"/>
    </xf>
    <xf numFmtId="0" fontId="4" fillId="6" borderId="0" xfId="0" applyFont="1" applyFill="1"/>
    <xf numFmtId="0" fontId="7" fillId="6" borderId="0" xfId="0" applyFont="1" applyFill="1"/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6" fillId="6" borderId="0" xfId="0" applyFont="1" applyFill="1"/>
    <xf numFmtId="1" fontId="3" fillId="6" borderId="0" xfId="0" applyNumberFormat="1" applyFont="1" applyFill="1"/>
    <xf numFmtId="1" fontId="5" fillId="6" borderId="0" xfId="0" applyNumberFormat="1" applyFont="1" applyFill="1"/>
    <xf numFmtId="0" fontId="8" fillId="6" borderId="0" xfId="0" applyFont="1" applyFill="1"/>
    <xf numFmtId="0" fontId="9" fillId="6" borderId="0" xfId="0" applyFont="1" applyFill="1"/>
    <xf numFmtId="164" fontId="3" fillId="6" borderId="0" xfId="2" applyNumberFormat="1" applyFont="1" applyFill="1"/>
    <xf numFmtId="43" fontId="3" fillId="6" borderId="0" xfId="0" applyNumberFormat="1" applyFont="1" applyFill="1"/>
    <xf numFmtId="164" fontId="3" fillId="6" borderId="0" xfId="0" applyNumberFormat="1" applyFont="1" applyFill="1"/>
    <xf numFmtId="0" fontId="0" fillId="6" borderId="0" xfId="0" applyFill="1" applyAlignment="1">
      <alignment horizontal="left"/>
    </xf>
    <xf numFmtId="43" fontId="3" fillId="6" borderId="0" xfId="0" applyNumberFormat="1" applyFont="1" applyFill="1" applyAlignment="1">
      <alignment horizontal="left"/>
    </xf>
    <xf numFmtId="0" fontId="3" fillId="7" borderId="0" xfId="0" applyFont="1" applyFill="1"/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6" fontId="3" fillId="6" borderId="0" xfId="0" applyNumberFormat="1" applyFont="1" applyFill="1"/>
    <xf numFmtId="0" fontId="3" fillId="4" borderId="0" xfId="0" applyFont="1" applyFill="1" applyAlignment="1">
      <alignment vertical="top"/>
    </xf>
    <xf numFmtId="9" fontId="3" fillId="7" borderId="0" xfId="1" applyFont="1" applyFill="1"/>
    <xf numFmtId="0" fontId="0" fillId="6" borderId="0" xfId="0" applyFill="1" applyAlignment="1">
      <alignment horizontal="right"/>
    </xf>
    <xf numFmtId="10" fontId="0" fillId="6" borderId="0" xfId="0" applyNumberFormat="1" applyFill="1"/>
    <xf numFmtId="9" fontId="0" fillId="6" borderId="0" xfId="0" applyNumberFormat="1" applyFill="1" applyProtection="1"/>
    <xf numFmtId="10" fontId="0" fillId="6" borderId="0" xfId="1" applyNumberFormat="1" applyFont="1" applyFill="1"/>
    <xf numFmtId="164" fontId="3" fillId="4" borderId="0" xfId="2" applyNumberFormat="1" applyFont="1" applyFill="1"/>
    <xf numFmtId="43" fontId="3" fillId="4" borderId="0" xfId="0" applyNumberFormat="1" applyFont="1" applyFill="1"/>
    <xf numFmtId="0" fontId="3" fillId="5" borderId="0" xfId="0" applyFont="1" applyFill="1"/>
    <xf numFmtId="166" fontId="0" fillId="6" borderId="0" xfId="0" applyNumberFormat="1" applyFont="1" applyFill="1"/>
    <xf numFmtId="167" fontId="0" fillId="6" borderId="0" xfId="0" applyNumberFormat="1" applyFill="1" applyProtection="1"/>
    <xf numFmtId="166" fontId="0" fillId="6" borderId="0" xfId="0" applyNumberFormat="1" applyFont="1" applyFill="1" applyAlignment="1">
      <alignment horizontal="right"/>
    </xf>
    <xf numFmtId="166" fontId="0" fillId="4" borderId="0" xfId="0" applyNumberFormat="1" applyFill="1"/>
    <xf numFmtId="166" fontId="3" fillId="6" borderId="0" xfId="0" applyNumberFormat="1" applyFont="1" applyFill="1" applyProtection="1"/>
    <xf numFmtId="166" fontId="0" fillId="4" borderId="0" xfId="0" applyNumberFormat="1" applyFont="1" applyFill="1"/>
    <xf numFmtId="166" fontId="3" fillId="5" borderId="0" xfId="0" applyNumberFormat="1" applyFont="1" applyFill="1"/>
    <xf numFmtId="167" fontId="0" fillId="5" borderId="0" xfId="1" applyNumberFormat="1" applyFont="1" applyFill="1"/>
    <xf numFmtId="167" fontId="0" fillId="6" borderId="0" xfId="1" applyNumberFormat="1" applyFont="1" applyFill="1"/>
    <xf numFmtId="167" fontId="0" fillId="4" borderId="0" xfId="1" applyNumberFormat="1" applyFont="1" applyFill="1"/>
    <xf numFmtId="167" fontId="3" fillId="4" borderId="0" xfId="0" applyNumberFormat="1" applyFont="1" applyFill="1"/>
    <xf numFmtId="167" fontId="0" fillId="4" borderId="0" xfId="0" applyNumberFormat="1" applyFill="1"/>
    <xf numFmtId="167" fontId="3" fillId="4" borderId="0" xfId="1" applyNumberFormat="1" applyFont="1" applyFill="1"/>
    <xf numFmtId="0" fontId="0" fillId="6" borderId="0" xfId="0" applyFill="1" applyAlignment="1">
      <alignment horizontal="center"/>
    </xf>
    <xf numFmtId="166" fontId="2" fillId="6" borderId="0" xfId="0" applyNumberFormat="1" applyFont="1" applyFill="1"/>
    <xf numFmtId="166" fontId="0" fillId="6" borderId="0" xfId="0" applyNumberFormat="1" applyFont="1" applyFill="1" applyAlignment="1">
      <alignment horizontal="center"/>
    </xf>
    <xf numFmtId="166" fontId="0" fillId="6" borderId="0" xfId="0" applyNumberFormat="1" applyFont="1" applyFill="1" applyAlignment="1">
      <alignment horizontal="left"/>
    </xf>
    <xf numFmtId="166" fontId="2" fillId="6" borderId="0" xfId="2" applyNumberFormat="1" applyFont="1" applyFill="1"/>
    <xf numFmtId="168" fontId="3" fillId="6" borderId="0" xfId="2" applyNumberFormat="1" applyFont="1" applyFill="1"/>
    <xf numFmtId="168" fontId="3" fillId="6" borderId="0" xfId="0" applyNumberFormat="1" applyFont="1" applyFill="1"/>
    <xf numFmtId="168" fontId="5" fillId="6" borderId="0" xfId="0" applyNumberFormat="1" applyFont="1" applyFill="1"/>
    <xf numFmtId="168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left"/>
    </xf>
    <xf numFmtId="168" fontId="5" fillId="6" borderId="0" xfId="2" applyNumberFormat="1" applyFont="1" applyFill="1"/>
    <xf numFmtId="168" fontId="0" fillId="6" borderId="0" xfId="0" applyNumberFormat="1" applyFont="1" applyFill="1" applyAlignment="1">
      <alignment horizontal="center"/>
    </xf>
    <xf numFmtId="168" fontId="0" fillId="6" borderId="0" xfId="0" applyNumberFormat="1" applyFont="1" applyFill="1" applyAlignment="1">
      <alignment horizontal="left"/>
    </xf>
    <xf numFmtId="168" fontId="14" fillId="6" borderId="0" xfId="2" applyNumberFormat="1" applyFont="1" applyFill="1"/>
    <xf numFmtId="168" fontId="3" fillId="4" borderId="0" xfId="2" applyNumberFormat="1" applyFont="1" applyFill="1"/>
    <xf numFmtId="168" fontId="5" fillId="4" borderId="0" xfId="2" applyNumberFormat="1" applyFont="1" applyFill="1"/>
    <xf numFmtId="168" fontId="0" fillId="4" borderId="0" xfId="2" applyNumberFormat="1" applyFont="1" applyFill="1"/>
    <xf numFmtId="168" fontId="0" fillId="6" borderId="0" xfId="2" applyNumberFormat="1" applyFont="1" applyFill="1"/>
    <xf numFmtId="168" fontId="2" fillId="6" borderId="0" xfId="2" applyNumberFormat="1" applyFont="1" applyFill="1"/>
    <xf numFmtId="2" fontId="0" fillId="6" borderId="0" xfId="0" applyNumberFormat="1" applyFill="1"/>
    <xf numFmtId="43" fontId="0" fillId="6" borderId="0" xfId="2" applyNumberFormat="1" applyFont="1" applyFill="1"/>
    <xf numFmtId="0" fontId="20" fillId="6" borderId="0" xfId="0" applyFont="1" applyFill="1"/>
    <xf numFmtId="0" fontId="21" fillId="6" borderId="0" xfId="0" applyFont="1" applyFill="1"/>
    <xf numFmtId="0" fontId="2" fillId="7" borderId="0" xfId="0" applyFont="1" applyFill="1"/>
    <xf numFmtId="17" fontId="0" fillId="6" borderId="0" xfId="0" applyNumberFormat="1" applyFill="1"/>
    <xf numFmtId="0" fontId="22" fillId="6" borderId="0" xfId="0" applyFont="1" applyFill="1"/>
    <xf numFmtId="0" fontId="23" fillId="6" borderId="0" xfId="0" applyFont="1" applyFill="1"/>
    <xf numFmtId="0" fontId="20" fillId="6" borderId="0" xfId="0" applyFont="1" applyFill="1" applyAlignment="1">
      <alignment horizontal="left" vertical="center"/>
    </xf>
    <xf numFmtId="0" fontId="20" fillId="6" borderId="0" xfId="0" quotePrefix="1" applyFont="1" applyFill="1"/>
    <xf numFmtId="0" fontId="21" fillId="7" borderId="0" xfId="0" applyFont="1" applyFill="1"/>
    <xf numFmtId="166" fontId="5" fillId="6" borderId="0" xfId="0" applyNumberFormat="1" applyFont="1" applyFill="1"/>
    <xf numFmtId="0" fontId="0" fillId="6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3D2FF"/>
      <color rgb="FF33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Cassava value chain in</a:t>
            </a:r>
            <a:r>
              <a:rPr lang="en-GB" b="1" baseline="0"/>
              <a:t> </a:t>
            </a:r>
            <a:r>
              <a:rPr lang="en-GB" b="1"/>
              <a:t>Brong Ahafo</a:t>
            </a:r>
          </a:p>
          <a:p>
            <a:pPr>
              <a:defRPr b="1"/>
            </a:pPr>
            <a:r>
              <a:rPr lang="en-GB" b="1"/>
              <a:t>Value addition for entire region (GhC</a:t>
            </a:r>
            <a:r>
              <a:rPr lang="en-GB" b="1" baseline="0"/>
              <a:t> p.a.)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Graph'!$B$28</c:f>
              <c:strCache>
                <c:ptCount val="1"/>
                <c:pt idx="0">
                  <c:v>Total, 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'Overall Graph'!$A$29:$A$37</c:f>
              <c:strCache>
                <c:ptCount val="9"/>
                <c:pt idx="0">
                  <c:v>IGS Imports</c:v>
                </c:pt>
                <c:pt idx="1">
                  <c:v>IGS Local</c:v>
                </c:pt>
                <c:pt idx="2">
                  <c:v>Land value</c:v>
                </c:pt>
                <c:pt idx="3">
                  <c:v>Labour value</c:v>
                </c:pt>
                <c:pt idx="4">
                  <c:v>Financial charges</c:v>
                </c:pt>
                <c:pt idx="5">
                  <c:v>Taxes/dues</c:v>
                </c:pt>
                <c:pt idx="6">
                  <c:v>Subsidies</c:v>
                </c:pt>
                <c:pt idx="7">
                  <c:v>Net profit</c:v>
                </c:pt>
                <c:pt idx="8">
                  <c:v>Sum</c:v>
                </c:pt>
              </c:strCache>
            </c:strRef>
          </c:cat>
          <c:val>
            <c:numRef>
              <c:f>'Overall Graph'!$B$29:$B$37</c:f>
              <c:numCache>
                <c:formatCode>_-* #,##0_-;\-* #,##0_-;_-* "-"??_-;_-@_-</c:formatCode>
                <c:ptCount val="9"/>
                <c:pt idx="0">
                  <c:v>144492639.66733661</c:v>
                </c:pt>
                <c:pt idx="1">
                  <c:v>29584671.226594999</c:v>
                </c:pt>
                <c:pt idx="2">
                  <c:v>69779895.900000006</c:v>
                </c:pt>
                <c:pt idx="3">
                  <c:v>1171629922.1532159</c:v>
                </c:pt>
                <c:pt idx="4">
                  <c:v>21980207.120393127</c:v>
                </c:pt>
                <c:pt idx="5">
                  <c:v>55469320.636920929</c:v>
                </c:pt>
                <c:pt idx="6">
                  <c:v>0</c:v>
                </c:pt>
                <c:pt idx="7">
                  <c:v>515622174.05553854</c:v>
                </c:pt>
                <c:pt idx="8">
                  <c:v>2008558830.7600002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D-4030-A3B5-A4633ECC623D}"/>
            </c:ext>
          </c:extLst>
        </c:ser>
        <c:ser>
          <c:idx val="1"/>
          <c:order val="1"/>
          <c:tx>
            <c:strRef>
              <c:f>'Overall Graph'!$C$28</c:f>
              <c:strCache>
                <c:ptCount val="1"/>
                <c:pt idx="0">
                  <c:v>Total, achievable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'Overall Graph'!$A$29:$A$37</c:f>
              <c:strCache>
                <c:ptCount val="9"/>
                <c:pt idx="0">
                  <c:v>IGS Imports</c:v>
                </c:pt>
                <c:pt idx="1">
                  <c:v>IGS Local</c:v>
                </c:pt>
                <c:pt idx="2">
                  <c:v>Land value</c:v>
                </c:pt>
                <c:pt idx="3">
                  <c:v>Labour value</c:v>
                </c:pt>
                <c:pt idx="4">
                  <c:v>Financial charges</c:v>
                </c:pt>
                <c:pt idx="5">
                  <c:v>Taxes/dues</c:v>
                </c:pt>
                <c:pt idx="6">
                  <c:v>Subsidies</c:v>
                </c:pt>
                <c:pt idx="7">
                  <c:v>Net profit</c:v>
                </c:pt>
                <c:pt idx="8">
                  <c:v>Sum</c:v>
                </c:pt>
              </c:strCache>
            </c:strRef>
          </c:cat>
          <c:val>
            <c:numRef>
              <c:f>'Overall Graph'!$C$29:$C$37</c:f>
              <c:numCache>
                <c:formatCode>_-* #,##0_-;\-* #,##0_-;_-* "-"??_-;_-@_-</c:formatCode>
                <c:ptCount val="9"/>
                <c:pt idx="0">
                  <c:v>185659238.57499862</c:v>
                </c:pt>
                <c:pt idx="1">
                  <c:v>34096501.237980001</c:v>
                </c:pt>
                <c:pt idx="2">
                  <c:v>69779895.900000006</c:v>
                </c:pt>
                <c:pt idx="3">
                  <c:v>1485528417.5558414</c:v>
                </c:pt>
                <c:pt idx="4">
                  <c:v>27029506.601839691</c:v>
                </c:pt>
                <c:pt idx="5">
                  <c:v>64472724.007890917</c:v>
                </c:pt>
                <c:pt idx="6">
                  <c:v>0</c:v>
                </c:pt>
                <c:pt idx="7">
                  <c:v>975705081.56144929</c:v>
                </c:pt>
                <c:pt idx="8">
                  <c:v>2842271365.4400001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D-4030-A3B5-A4633ECC6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837624"/>
        <c:axId val="392836312"/>
      </c:barChart>
      <c:catAx>
        <c:axId val="39283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36312"/>
        <c:crosses val="autoZero"/>
        <c:auto val="1"/>
        <c:lblAlgn val="ctr"/>
        <c:lblOffset val="100"/>
        <c:noMultiLvlLbl val="0"/>
      </c:catAx>
      <c:valAx>
        <c:axId val="39283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Ghana Cedis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3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Cassava production in Brong Ahafo - </a:t>
            </a:r>
          </a:p>
          <a:p>
            <a:pPr>
              <a:defRPr/>
            </a:pPr>
            <a:r>
              <a:rPr lang="en-GB" b="0"/>
              <a:t>Value addition per acre (GhC)</a:t>
            </a:r>
          </a:p>
        </c:rich>
      </c:tx>
      <c:layout>
        <c:manualLayout>
          <c:xMode val="edge"/>
          <c:yMode val="edge"/>
          <c:x val="0.23650578527160546"/>
          <c:y val="2.4919076367598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Production'!$A$8</c:f>
              <c:strCache>
                <c:ptCount val="1"/>
                <c:pt idx="0">
                  <c:v>Average farm, Smallholder (current situation)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Production'!$B$7:$J$7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Production'!$B$8:$J$8</c:f>
              <c:numCache>
                <c:formatCode>0.00</c:formatCode>
                <c:ptCount val="9"/>
                <c:pt idx="0">
                  <c:v>1920</c:v>
                </c:pt>
                <c:pt idx="1">
                  <c:v>163.76664999999997</c:v>
                </c:pt>
                <c:pt idx="2">
                  <c:v>24.34</c:v>
                </c:pt>
                <c:pt idx="3">
                  <c:v>110</c:v>
                </c:pt>
                <c:pt idx="4">
                  <c:v>1574.635</c:v>
                </c:pt>
                <c:pt idx="5">
                  <c:v>21.423750000000002</c:v>
                </c:pt>
                <c:pt idx="6">
                  <c:v>27.18045</c:v>
                </c:pt>
                <c:pt idx="7">
                  <c:v>0</c:v>
                </c:pt>
                <c:pt idx="8">
                  <c:v>-1.3458499999999844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A-4F12-BDB0-58DA5A409424}"/>
            </c:ext>
          </c:extLst>
        </c:ser>
        <c:ser>
          <c:idx val="1"/>
          <c:order val="1"/>
          <c:tx>
            <c:strRef>
              <c:f>'Sum Production'!$A$9</c:f>
              <c:strCache>
                <c:ptCount val="1"/>
                <c:pt idx="0">
                  <c:v>Achievable farm, Smallholder (possible future situation)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Production'!$B$7:$J$7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Production'!$B$9:$J$9</c:f>
              <c:numCache>
                <c:formatCode>0.00</c:formatCode>
                <c:ptCount val="9"/>
                <c:pt idx="0">
                  <c:v>2880</c:v>
                </c:pt>
                <c:pt idx="1">
                  <c:v>226.24997499999995</c:v>
                </c:pt>
                <c:pt idx="2">
                  <c:v>28.91</c:v>
                </c:pt>
                <c:pt idx="3">
                  <c:v>110</c:v>
                </c:pt>
                <c:pt idx="4">
                  <c:v>2057.0425</c:v>
                </c:pt>
                <c:pt idx="5">
                  <c:v>29.135625000000001</c:v>
                </c:pt>
                <c:pt idx="6">
                  <c:v>40.170675000000003</c:v>
                </c:pt>
                <c:pt idx="7">
                  <c:v>0</c:v>
                </c:pt>
                <c:pt idx="8">
                  <c:v>388.49122499999999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A-4F12-BDB0-58DA5A409424}"/>
            </c:ext>
          </c:extLst>
        </c:ser>
        <c:ser>
          <c:idx val="2"/>
          <c:order val="2"/>
          <c:tx>
            <c:strRef>
              <c:f>'Sum Production'!$A$10</c:f>
              <c:strCache>
                <c:ptCount val="1"/>
                <c:pt idx="0">
                  <c:v>Average farm, Commercial/Large (current situation)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 Production'!$B$7:$J$7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Production'!$B$10:$J$10</c:f>
              <c:numCache>
                <c:formatCode>0.00</c:formatCode>
                <c:ptCount val="9"/>
                <c:pt idx="0">
                  <c:v>3600</c:v>
                </c:pt>
                <c:pt idx="1">
                  <c:v>374.47456666666665</c:v>
                </c:pt>
                <c:pt idx="2">
                  <c:v>62.050000000000004</c:v>
                </c:pt>
                <c:pt idx="3">
                  <c:v>110</c:v>
                </c:pt>
                <c:pt idx="4">
                  <c:v>1716.377125</c:v>
                </c:pt>
                <c:pt idx="5">
                  <c:v>21</c:v>
                </c:pt>
                <c:pt idx="6">
                  <c:v>83.915099999999981</c:v>
                </c:pt>
                <c:pt idx="7">
                  <c:v>0</c:v>
                </c:pt>
                <c:pt idx="8">
                  <c:v>1232.1832083333331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A-4F12-BDB0-58DA5A409424}"/>
            </c:ext>
          </c:extLst>
        </c:ser>
        <c:ser>
          <c:idx val="3"/>
          <c:order val="3"/>
          <c:tx>
            <c:strRef>
              <c:f>'Sum Production'!$A$11</c:f>
              <c:strCache>
                <c:ptCount val="1"/>
                <c:pt idx="0">
                  <c:v>Achievable farm, Commercial/Large (possible future situation)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 Production'!$B$7:$J$7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Production'!$B$11:$J$11</c:f>
              <c:numCache>
                <c:formatCode>0.00</c:formatCode>
                <c:ptCount val="9"/>
                <c:pt idx="0">
                  <c:v>4800</c:v>
                </c:pt>
                <c:pt idx="1">
                  <c:v>429.89123333333339</c:v>
                </c:pt>
                <c:pt idx="2">
                  <c:v>74.883333333333326</c:v>
                </c:pt>
                <c:pt idx="3">
                  <c:v>110</c:v>
                </c:pt>
                <c:pt idx="4">
                  <c:v>2091.8375416666663</c:v>
                </c:pt>
                <c:pt idx="5">
                  <c:v>21</c:v>
                </c:pt>
                <c:pt idx="6">
                  <c:v>83.915099999999981</c:v>
                </c:pt>
                <c:pt idx="7">
                  <c:v>0</c:v>
                </c:pt>
                <c:pt idx="8">
                  <c:v>1988.4727916666666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A-4F12-BDB0-58DA5A40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997312"/>
        <c:axId val="403997640"/>
      </c:barChart>
      <c:catAx>
        <c:axId val="4039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97640"/>
        <c:crosses val="autoZero"/>
        <c:auto val="1"/>
        <c:lblAlgn val="ctr"/>
        <c:lblOffset val="100"/>
        <c:noMultiLvlLbl val="0"/>
      </c:catAx>
      <c:valAx>
        <c:axId val="40399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Ghana Cedis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9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Cassava</a:t>
            </a:r>
            <a:r>
              <a:rPr lang="en-GB" b="0" baseline="0"/>
              <a:t> production in Brong Ahafo</a:t>
            </a:r>
          </a:p>
          <a:p>
            <a:pPr>
              <a:defRPr/>
            </a:pPr>
            <a:r>
              <a:rPr lang="en-GB" b="0" baseline="0"/>
              <a:t>Value addition for entire region (GhC)</a:t>
            </a:r>
            <a:endParaRPr lang="en-GB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Production'!$A$37</c:f>
              <c:strCache>
                <c:ptCount val="1"/>
                <c:pt idx="0">
                  <c:v>Average farm, Smallholder (current situation)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Production'!$B$36:$J$36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Production'!$B$37:$J$37</c:f>
              <c:numCache>
                <c:formatCode>_-* #,##0_-;\-* #,##0_-;_-* "-"??_-;_-@_-</c:formatCode>
                <c:ptCount val="9"/>
                <c:pt idx="0">
                  <c:v>1157077546.5599999</c:v>
                </c:pt>
                <c:pt idx="1">
                  <c:v>98693079.994974062</c:v>
                </c:pt>
                <c:pt idx="2">
                  <c:v>14668368.480870001</c:v>
                </c:pt>
                <c:pt idx="3">
                  <c:v>66290901.105000004</c:v>
                </c:pt>
                <c:pt idx="4">
                  <c:v>948945209.64974248</c:v>
                </c:pt>
                <c:pt idx="5">
                  <c:v>12910906.295893127</c:v>
                </c:pt>
                <c:pt idx="6">
                  <c:v>16380150.208539976</c:v>
                </c:pt>
                <c:pt idx="7">
                  <c:v>0</c:v>
                </c:pt>
                <c:pt idx="8">
                  <c:v>-811069.17501966562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BD7-8F84-31DB2601D324}"/>
            </c:ext>
          </c:extLst>
        </c:ser>
        <c:ser>
          <c:idx val="1"/>
          <c:order val="1"/>
          <c:tx>
            <c:strRef>
              <c:f>'Sum Production'!$A$38</c:f>
              <c:strCache>
                <c:ptCount val="1"/>
                <c:pt idx="0">
                  <c:v>Achievable farm, Smallholder (possible future situation)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Production'!$B$36:$J$36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Production'!$B$38:$J$38</c:f>
              <c:numCache>
                <c:formatCode>_-* #,##0_-;\-* #,##0_-;_-* "-"??_-;_-@_-</c:formatCode>
                <c:ptCount val="9"/>
                <c:pt idx="0">
                  <c:v>1735616319.8400002</c:v>
                </c:pt>
                <c:pt idx="1">
                  <c:v>136348315.61576107</c:v>
                </c:pt>
                <c:pt idx="2">
                  <c:v>17422454.099505</c:v>
                </c:pt>
                <c:pt idx="3">
                  <c:v>66290901.105000004</c:v>
                </c:pt>
                <c:pt idx="4">
                  <c:v>1239665463.0571089</c:v>
                </c:pt>
                <c:pt idx="5">
                  <c:v>17558425.777339689</c:v>
                </c:pt>
                <c:pt idx="6">
                  <c:v>24208638.579509966</c:v>
                </c:pt>
                <c:pt idx="7">
                  <c:v>0</c:v>
                </c:pt>
                <c:pt idx="8">
                  <c:v>234122121.60577548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BD7-8F84-31DB2601D324}"/>
            </c:ext>
          </c:extLst>
        </c:ser>
        <c:ser>
          <c:idx val="2"/>
          <c:order val="2"/>
          <c:tx>
            <c:strRef>
              <c:f>'Sum Production'!$A$39</c:f>
              <c:strCache>
                <c:ptCount val="1"/>
                <c:pt idx="0">
                  <c:v>Average farm, Commercial/Large (current situation)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 Production'!$B$36:$J$36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Production'!$B$39:$J$39</c:f>
              <c:numCache>
                <c:formatCode>_-* #,##0_-;\-* #,##0_-;_-* "-"??_-;_-@_-</c:formatCode>
                <c:ptCount val="9"/>
                <c:pt idx="0">
                  <c:v>114185284.20000002</c:v>
                </c:pt>
                <c:pt idx="1">
                  <c:v>11877634.672362551</c:v>
                </c:pt>
                <c:pt idx="2">
                  <c:v>1968110.2457250003</c:v>
                </c:pt>
                <c:pt idx="3">
                  <c:v>3488994.7950000004</c:v>
                </c:pt>
                <c:pt idx="4">
                  <c:v>54440280.503473319</c:v>
                </c:pt>
                <c:pt idx="5">
                  <c:v>666080.8245000001</c:v>
                </c:pt>
                <c:pt idx="6">
                  <c:v>2661630.4283809499</c:v>
                </c:pt>
                <c:pt idx="7">
                  <c:v>0</c:v>
                </c:pt>
                <c:pt idx="8">
                  <c:v>39082552.730558187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BD7-8F84-31DB2601D324}"/>
            </c:ext>
          </c:extLst>
        </c:ser>
        <c:ser>
          <c:idx val="3"/>
          <c:order val="3"/>
          <c:tx>
            <c:strRef>
              <c:f>'Sum Production'!$A$40</c:f>
              <c:strCache>
                <c:ptCount val="1"/>
                <c:pt idx="0">
                  <c:v>Achievable farm, Commercial/Large (possible future situation)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 Production'!$B$36:$J$36</c:f>
              <c:strCache>
                <c:ptCount val="9"/>
                <c:pt idx="0">
                  <c:v>Production</c:v>
                </c:pt>
                <c:pt idx="1">
                  <c:v>IGS Imports</c:v>
                </c:pt>
                <c:pt idx="2">
                  <c:v>IGS local</c:v>
                </c:pt>
                <c:pt idx="3">
                  <c:v>Land value</c:v>
                </c:pt>
                <c:pt idx="4">
                  <c:v>Labour value</c:v>
                </c:pt>
                <c:pt idx="5">
                  <c:v>Financial charges</c:v>
                </c:pt>
                <c:pt idx="6">
                  <c:v>Taxes/Dues</c:v>
                </c:pt>
                <c:pt idx="7">
                  <c:v>Subsidies</c:v>
                </c:pt>
                <c:pt idx="8">
                  <c:v>Net profit</c:v>
                </c:pt>
              </c:strCache>
            </c:strRef>
          </c:cat>
          <c:val>
            <c:numRef>
              <c:f>'Sum Production'!$B$40:$J$40</c:f>
              <c:numCache>
                <c:formatCode>_-* #,##0_-;\-* #,##0_-;_-* "-"??_-;_-@_-</c:formatCode>
                <c:ptCount val="9"/>
                <c:pt idx="0">
                  <c:v>152247045.60000002</c:v>
                </c:pt>
                <c:pt idx="1">
                  <c:v>13635347.959237553</c:v>
                </c:pt>
                <c:pt idx="2">
                  <c:v>2375159.6384749999</c:v>
                </c:pt>
                <c:pt idx="3">
                  <c:v>3488994.7950000004</c:v>
                </c:pt>
                <c:pt idx="4">
                  <c:v>66349184.498732686</c:v>
                </c:pt>
                <c:pt idx="5">
                  <c:v>666080.8245000001</c:v>
                </c:pt>
                <c:pt idx="6">
                  <c:v>2661630.4283809499</c:v>
                </c:pt>
                <c:pt idx="7">
                  <c:v>0</c:v>
                </c:pt>
                <c:pt idx="8">
                  <c:v>63070647.455673814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AE-4BD7-8F84-31DB2601D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553008"/>
        <c:axId val="206553992"/>
      </c:barChart>
      <c:catAx>
        <c:axId val="2065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3992"/>
        <c:crosses val="autoZero"/>
        <c:auto val="1"/>
        <c:lblAlgn val="ctr"/>
        <c:lblOffset val="100"/>
        <c:noMultiLvlLbl val="0"/>
      </c:catAx>
      <c:valAx>
        <c:axId val="2065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Ghana Cedis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Gari processing in Brong Ahafo</a:t>
            </a:r>
          </a:p>
          <a:p>
            <a:pPr>
              <a:defRPr/>
            </a:pPr>
            <a:r>
              <a:rPr lang="en-US"/>
              <a:t>Value addition per company</a:t>
            </a:r>
            <a:r>
              <a:rPr lang="en-US" baseline="0"/>
              <a:t> / facility p.a. (GhC)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Processing'!$A$8</c:f>
              <c:strCache>
                <c:ptCount val="1"/>
                <c:pt idx="0">
                  <c:v>Average facility, small-scale (current situation)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Processing'!$B$7:$K$7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Processing'!$B$8:$K$8</c:f>
              <c:numCache>
                <c:formatCode>_(* #,##0.00_);_(* \(#,##0.00\);_(* "-"??_);_(@_)</c:formatCode>
                <c:ptCount val="10"/>
                <c:pt idx="0">
                  <c:v>280000</c:v>
                </c:pt>
                <c:pt idx="1">
                  <c:v>114300</c:v>
                </c:pt>
                <c:pt idx="2">
                  <c:v>3212.5</c:v>
                </c:pt>
                <c:pt idx="3">
                  <c:v>1662.5</c:v>
                </c:pt>
                <c:pt idx="4">
                  <c:v>0</c:v>
                </c:pt>
                <c:pt idx="5">
                  <c:v>39615</c:v>
                </c:pt>
                <c:pt idx="6">
                  <c:v>550</c:v>
                </c:pt>
                <c:pt idx="7">
                  <c:v>1762.5</c:v>
                </c:pt>
                <c:pt idx="8">
                  <c:v>0</c:v>
                </c:pt>
                <c:pt idx="9">
                  <c:v>118897.5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3-488D-976E-012C038237D7}"/>
            </c:ext>
          </c:extLst>
        </c:ser>
        <c:ser>
          <c:idx val="1"/>
          <c:order val="1"/>
          <c:tx>
            <c:strRef>
              <c:f>'Sum Processing'!$A$9</c:f>
              <c:strCache>
                <c:ptCount val="1"/>
                <c:pt idx="0">
                  <c:v>Achievable facility, small-scale (possible future situation)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Processing'!$B$7:$K$7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Processing'!$B$9:$K$9</c:f>
              <c:numCache>
                <c:formatCode>_(* #,##0.00_);_(* \(#,##0.00\);_(* "-"??_);_(@_)</c:formatCode>
                <c:ptCount val="10"/>
                <c:pt idx="0">
                  <c:v>350000</c:v>
                </c:pt>
                <c:pt idx="1">
                  <c:v>120000</c:v>
                </c:pt>
                <c:pt idx="2">
                  <c:v>3775</c:v>
                </c:pt>
                <c:pt idx="3">
                  <c:v>2100</c:v>
                </c:pt>
                <c:pt idx="4">
                  <c:v>0</c:v>
                </c:pt>
                <c:pt idx="5">
                  <c:v>43252.5</c:v>
                </c:pt>
                <c:pt idx="6">
                  <c:v>675</c:v>
                </c:pt>
                <c:pt idx="7">
                  <c:v>2075</c:v>
                </c:pt>
                <c:pt idx="8">
                  <c:v>0</c:v>
                </c:pt>
                <c:pt idx="9">
                  <c:v>178122.5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3-488D-976E-012C038237D7}"/>
            </c:ext>
          </c:extLst>
        </c:ser>
        <c:ser>
          <c:idx val="2"/>
          <c:order val="2"/>
          <c:tx>
            <c:strRef>
              <c:f>'Sum Processing'!$A$10</c:f>
              <c:strCache>
                <c:ptCount val="1"/>
                <c:pt idx="0">
                  <c:v>Average facility, medium (current situation)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 Processing'!$B$7:$K$7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Processing'!$B$10:$K$10</c:f>
              <c:numCache>
                <c:formatCode>_(* #,##0.00_);_(* \(#,##0.00\);_(* "-"??_);_(@_)</c:formatCode>
                <c:ptCount val="10"/>
                <c:pt idx="0">
                  <c:v>490000</c:v>
                </c:pt>
                <c:pt idx="1">
                  <c:v>200000</c:v>
                </c:pt>
                <c:pt idx="2">
                  <c:v>19237.5</c:v>
                </c:pt>
                <c:pt idx="3">
                  <c:v>14948.75</c:v>
                </c:pt>
                <c:pt idx="4">
                  <c:v>0</c:v>
                </c:pt>
                <c:pt idx="5">
                  <c:v>94272</c:v>
                </c:pt>
                <c:pt idx="6">
                  <c:v>5870</c:v>
                </c:pt>
                <c:pt idx="7">
                  <c:v>43260</c:v>
                </c:pt>
                <c:pt idx="8">
                  <c:v>0</c:v>
                </c:pt>
                <c:pt idx="9">
                  <c:v>112411.75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3-488D-976E-012C038237D7}"/>
            </c:ext>
          </c:extLst>
        </c:ser>
        <c:ser>
          <c:idx val="3"/>
          <c:order val="3"/>
          <c:tx>
            <c:strRef>
              <c:f>'Sum Processing'!$A$11</c:f>
              <c:strCache>
                <c:ptCount val="1"/>
                <c:pt idx="0">
                  <c:v>Achievable facility, medium (possible future situation)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 Processing'!$B$7:$K$7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Processing'!$B$11:$K$11</c:f>
              <c:numCache>
                <c:formatCode>_(* #,##0.00_);_(* \(#,##0.00\);_(* "-"??_);_(@_)</c:formatCode>
                <c:ptCount val="10"/>
                <c:pt idx="0">
                  <c:v>700000</c:v>
                </c:pt>
                <c:pt idx="1">
                  <c:v>240000</c:v>
                </c:pt>
                <c:pt idx="2">
                  <c:v>22657.5</c:v>
                </c:pt>
                <c:pt idx="3">
                  <c:v>16288.75</c:v>
                </c:pt>
                <c:pt idx="4">
                  <c:v>0</c:v>
                </c:pt>
                <c:pt idx="5">
                  <c:v>121347</c:v>
                </c:pt>
                <c:pt idx="6">
                  <c:v>7200</c:v>
                </c:pt>
                <c:pt idx="7">
                  <c:v>52197.5</c:v>
                </c:pt>
                <c:pt idx="8">
                  <c:v>0</c:v>
                </c:pt>
                <c:pt idx="9">
                  <c:v>240309.25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3-488D-976E-012C03823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373216"/>
        <c:axId val="331373544"/>
      </c:barChart>
      <c:catAx>
        <c:axId val="33137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73544"/>
        <c:crosses val="autoZero"/>
        <c:auto val="1"/>
        <c:lblAlgn val="ctr"/>
        <c:lblOffset val="100"/>
        <c:noMultiLvlLbl val="0"/>
      </c:catAx>
      <c:valAx>
        <c:axId val="33137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7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Gari processing in Brong Ahafo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Value addition for entire region (GhC) 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Processing'!$A$40</c:f>
              <c:strCache>
                <c:ptCount val="1"/>
                <c:pt idx="0">
                  <c:v>Average facility, small-scale (current situation)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Processing'!$B$39:$K$39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Processing'!$B$40:$K$40</c:f>
              <c:numCache>
                <c:formatCode>_-* #,##0_-;\-* #,##0_-;_-* "-"??_-;_-@_-</c:formatCode>
                <c:ptCount val="10"/>
                <c:pt idx="0">
                  <c:v>817600000</c:v>
                </c:pt>
                <c:pt idx="1">
                  <c:v>333756000</c:v>
                </c:pt>
                <c:pt idx="2">
                  <c:v>9380500</c:v>
                </c:pt>
                <c:pt idx="3">
                  <c:v>4854500</c:v>
                </c:pt>
                <c:pt idx="4">
                  <c:v>0</c:v>
                </c:pt>
                <c:pt idx="5">
                  <c:v>115675800</c:v>
                </c:pt>
                <c:pt idx="6">
                  <c:v>1606000</c:v>
                </c:pt>
                <c:pt idx="7">
                  <c:v>5146500</c:v>
                </c:pt>
                <c:pt idx="8">
                  <c:v>0</c:v>
                </c:pt>
                <c:pt idx="9">
                  <c:v>347180700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0-467F-AECE-CE21886CC44F}"/>
            </c:ext>
          </c:extLst>
        </c:ser>
        <c:ser>
          <c:idx val="1"/>
          <c:order val="1"/>
          <c:tx>
            <c:strRef>
              <c:f>'Sum Processing'!$A$41</c:f>
              <c:strCache>
                <c:ptCount val="1"/>
                <c:pt idx="0">
                  <c:v>Achievable facility, small-scale (possible future situation)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Processing'!$B$39:$K$39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Processing'!$B$41:$K$41</c:f>
              <c:numCache>
                <c:formatCode>_-* #,##0_-;\-* #,##0_-;_-* "-"??_-;_-@_-</c:formatCode>
                <c:ptCount val="10"/>
                <c:pt idx="0">
                  <c:v>1022000000</c:v>
                </c:pt>
                <c:pt idx="1">
                  <c:v>350400000</c:v>
                </c:pt>
                <c:pt idx="2">
                  <c:v>11023000</c:v>
                </c:pt>
                <c:pt idx="3">
                  <c:v>6132000</c:v>
                </c:pt>
                <c:pt idx="4">
                  <c:v>0</c:v>
                </c:pt>
                <c:pt idx="5">
                  <c:v>126297300</c:v>
                </c:pt>
                <c:pt idx="6">
                  <c:v>1971000</c:v>
                </c:pt>
                <c:pt idx="7">
                  <c:v>6059000</c:v>
                </c:pt>
                <c:pt idx="8">
                  <c:v>0</c:v>
                </c:pt>
                <c:pt idx="9">
                  <c:v>520117700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0-467F-AECE-CE21886CC44F}"/>
            </c:ext>
          </c:extLst>
        </c:ser>
        <c:ser>
          <c:idx val="2"/>
          <c:order val="2"/>
          <c:tx>
            <c:strRef>
              <c:f>'Sum Processing'!$A$42</c:f>
              <c:strCache>
                <c:ptCount val="1"/>
                <c:pt idx="0">
                  <c:v>Average facility, medium (current situation)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'Sum Processing'!$B$39:$K$39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Processing'!$B$42:$K$42</c:f>
              <c:numCache>
                <c:formatCode>_-* #,##0_-;\-* #,##0_-;_-* "-"??_-;_-@_-</c:formatCode>
                <c:ptCount val="10"/>
                <c:pt idx="0">
                  <c:v>2940000</c:v>
                </c:pt>
                <c:pt idx="1">
                  <c:v>1200000</c:v>
                </c:pt>
                <c:pt idx="2">
                  <c:v>115425</c:v>
                </c:pt>
                <c:pt idx="3">
                  <c:v>89692.5</c:v>
                </c:pt>
                <c:pt idx="4">
                  <c:v>0</c:v>
                </c:pt>
                <c:pt idx="5">
                  <c:v>565632</c:v>
                </c:pt>
                <c:pt idx="6">
                  <c:v>35220</c:v>
                </c:pt>
                <c:pt idx="7">
                  <c:v>259560</c:v>
                </c:pt>
                <c:pt idx="8">
                  <c:v>0</c:v>
                </c:pt>
                <c:pt idx="9">
                  <c:v>674470.5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0-467F-AECE-CE21886CC44F}"/>
            </c:ext>
          </c:extLst>
        </c:ser>
        <c:ser>
          <c:idx val="3"/>
          <c:order val="3"/>
          <c:tx>
            <c:strRef>
              <c:f>'Sum Processing'!$A$43</c:f>
              <c:strCache>
                <c:ptCount val="1"/>
                <c:pt idx="0">
                  <c:v>Achievable facility, medium (possible future situation)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'Sum Processing'!$B$39:$K$39</c:f>
              <c:strCache>
                <c:ptCount val="10"/>
                <c:pt idx="0">
                  <c:v>Production/output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Processing'!$B$43:$K$43</c:f>
              <c:numCache>
                <c:formatCode>_-* #,##0_-;\-* #,##0_-;_-* "-"??_-;_-@_-</c:formatCode>
                <c:ptCount val="10"/>
                <c:pt idx="0">
                  <c:v>7000000</c:v>
                </c:pt>
                <c:pt idx="1">
                  <c:v>2400000</c:v>
                </c:pt>
                <c:pt idx="2">
                  <c:v>226575</c:v>
                </c:pt>
                <c:pt idx="3">
                  <c:v>162887.5</c:v>
                </c:pt>
                <c:pt idx="4">
                  <c:v>0</c:v>
                </c:pt>
                <c:pt idx="5">
                  <c:v>1213470</c:v>
                </c:pt>
                <c:pt idx="6">
                  <c:v>72000</c:v>
                </c:pt>
                <c:pt idx="7">
                  <c:v>521975</c:v>
                </c:pt>
                <c:pt idx="8">
                  <c:v>0</c:v>
                </c:pt>
                <c:pt idx="9">
                  <c:v>2403092.5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0-467F-AECE-CE21886C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492936"/>
        <c:axId val="397493592"/>
      </c:barChart>
      <c:catAx>
        <c:axId val="39749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93592"/>
        <c:crosses val="autoZero"/>
        <c:auto val="1"/>
        <c:lblAlgn val="ctr"/>
        <c:lblOffset val="100"/>
        <c:noMultiLvlLbl val="0"/>
      </c:catAx>
      <c:valAx>
        <c:axId val="39749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9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Fresh roots assava trading in Brong Ahafo</a:t>
            </a:r>
          </a:p>
          <a:p>
            <a:pPr>
              <a:defRPr/>
            </a:pPr>
            <a:r>
              <a:rPr lang="en-GB"/>
              <a:t>Value addition (GhC/wholesale trader/annum)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Trade'!$A$8</c:f>
              <c:strCache>
                <c:ptCount val="1"/>
                <c:pt idx="0">
                  <c:v>Current, average wholesale trader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Trade'!$B$7:$K$7</c:f>
              <c:strCache>
                <c:ptCount val="10"/>
                <c:pt idx="0">
                  <c:v>Production/sales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Trade'!$B$8:$K$8</c:f>
              <c:numCache>
                <c:formatCode>_(* #,##0.00_);_(* \(#,##0.00\);_(* "-"??_);_(@_)</c:formatCode>
                <c:ptCount val="10"/>
                <c:pt idx="0">
                  <c:v>144000</c:v>
                </c:pt>
                <c:pt idx="1">
                  <c:v>75600</c:v>
                </c:pt>
                <c:pt idx="2">
                  <c:v>6637.5</c:v>
                </c:pt>
                <c:pt idx="3">
                  <c:v>2175</c:v>
                </c:pt>
                <c:pt idx="4">
                  <c:v>0</c:v>
                </c:pt>
                <c:pt idx="5">
                  <c:v>14131.25</c:v>
                </c:pt>
                <c:pt idx="6">
                  <c:v>1837.5</c:v>
                </c:pt>
                <c:pt idx="7">
                  <c:v>8429.75</c:v>
                </c:pt>
                <c:pt idx="8">
                  <c:v>0</c:v>
                </c:pt>
                <c:pt idx="9">
                  <c:v>35189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6-4DA1-8CA3-9F5E4B164FE0}"/>
            </c:ext>
          </c:extLst>
        </c:ser>
        <c:ser>
          <c:idx val="1"/>
          <c:order val="1"/>
          <c:tx>
            <c:strRef>
              <c:f>'Sum Trade'!$A$9</c:f>
              <c:strCache>
                <c:ptCount val="1"/>
                <c:pt idx="0">
                  <c:v>Future, achievable wholesale trader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Trade'!$B$7:$K$7</c:f>
              <c:strCache>
                <c:ptCount val="10"/>
                <c:pt idx="0">
                  <c:v>Production/sales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Trade'!$B$9:$K$9</c:f>
              <c:numCache>
                <c:formatCode>_(* #,##0.00_);_(* \(#,##0.00\);_(* "-"??_);_(@_)</c:formatCode>
                <c:ptCount val="10"/>
                <c:pt idx="0">
                  <c:v>151200</c:v>
                </c:pt>
                <c:pt idx="1">
                  <c:v>75600</c:v>
                </c:pt>
                <c:pt idx="2">
                  <c:v>6637.5</c:v>
                </c:pt>
                <c:pt idx="3">
                  <c:v>2175</c:v>
                </c:pt>
                <c:pt idx="4">
                  <c:v>0</c:v>
                </c:pt>
                <c:pt idx="5">
                  <c:v>14131.25</c:v>
                </c:pt>
                <c:pt idx="6">
                  <c:v>1837.5</c:v>
                </c:pt>
                <c:pt idx="7">
                  <c:v>8429.75</c:v>
                </c:pt>
                <c:pt idx="8">
                  <c:v>0</c:v>
                </c:pt>
                <c:pt idx="9">
                  <c:v>42389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6-4DA1-8CA3-9F5E4B16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515544"/>
        <c:axId val="225513904"/>
      </c:barChart>
      <c:catAx>
        <c:axId val="22551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13904"/>
        <c:crosses val="autoZero"/>
        <c:auto val="1"/>
        <c:lblAlgn val="ctr"/>
        <c:lblOffset val="100"/>
        <c:noMultiLvlLbl val="0"/>
      </c:catAx>
      <c:valAx>
        <c:axId val="2255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1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Fresh roots cassava trading in Brong Ahafo</a:t>
            </a:r>
          </a:p>
          <a:p>
            <a:pPr>
              <a:defRPr/>
            </a:pPr>
            <a:r>
              <a:rPr lang="en-GB"/>
              <a:t>Value addition for entire region (GhC/annum)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 Trade'!$A$39</c:f>
              <c:strCache>
                <c:ptCount val="1"/>
                <c:pt idx="0">
                  <c:v>Average wholesale trader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 Trade'!$B$38:$K$38</c:f>
              <c:strCache>
                <c:ptCount val="10"/>
                <c:pt idx="0">
                  <c:v>Production/Sales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Trade'!$B$39:$K$39</c:f>
              <c:numCache>
                <c:formatCode>_-* #,##0_-;\-* #,##0_-;_-* "-"??_-;_-@_-</c:formatCode>
                <c:ptCount val="10"/>
                <c:pt idx="0">
                  <c:v>529920000</c:v>
                </c:pt>
                <c:pt idx="1">
                  <c:v>278208000</c:v>
                </c:pt>
                <c:pt idx="2">
                  <c:v>24426000</c:v>
                </c:pt>
                <c:pt idx="3">
                  <c:v>8004000</c:v>
                </c:pt>
                <c:pt idx="4">
                  <c:v>0</c:v>
                </c:pt>
                <c:pt idx="5">
                  <c:v>52003000</c:v>
                </c:pt>
                <c:pt idx="6">
                  <c:v>6762000</c:v>
                </c:pt>
                <c:pt idx="7">
                  <c:v>31021480</c:v>
                </c:pt>
                <c:pt idx="8">
                  <c:v>0</c:v>
                </c:pt>
                <c:pt idx="9">
                  <c:v>129495520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A7F-8B6F-A643BEF63DE8}"/>
            </c:ext>
          </c:extLst>
        </c:ser>
        <c:ser>
          <c:idx val="1"/>
          <c:order val="1"/>
          <c:tx>
            <c:strRef>
              <c:f>'Sum Trade'!$A$40</c:f>
              <c:strCache>
                <c:ptCount val="1"/>
                <c:pt idx="0">
                  <c:v>Achievable wholesale trader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'Sum Trade'!$B$38:$K$38</c:f>
              <c:strCache>
                <c:ptCount val="10"/>
                <c:pt idx="0">
                  <c:v>Production/Sales</c:v>
                </c:pt>
                <c:pt idx="1">
                  <c:v>Raw material</c:v>
                </c:pt>
                <c:pt idx="2">
                  <c:v>IGS Imports</c:v>
                </c:pt>
                <c:pt idx="3">
                  <c:v>IGS local</c:v>
                </c:pt>
                <c:pt idx="4">
                  <c:v>Land value</c:v>
                </c:pt>
                <c:pt idx="5">
                  <c:v>Labour value</c:v>
                </c:pt>
                <c:pt idx="6">
                  <c:v>Financial charges</c:v>
                </c:pt>
                <c:pt idx="7">
                  <c:v>Taxes/Duties</c:v>
                </c:pt>
                <c:pt idx="8">
                  <c:v>Subsidies</c:v>
                </c:pt>
                <c:pt idx="9">
                  <c:v>Net profit</c:v>
                </c:pt>
              </c:strCache>
            </c:strRef>
          </c:cat>
          <c:val>
            <c:numRef>
              <c:f>'Sum Trade'!$B$40:$K$40</c:f>
              <c:numCache>
                <c:formatCode>_-* #,##0_-;\-* #,##0_-;_-* "-"??_-;_-@_-</c:formatCode>
                <c:ptCount val="10"/>
                <c:pt idx="0">
                  <c:v>556416000</c:v>
                </c:pt>
                <c:pt idx="1">
                  <c:v>278208000</c:v>
                </c:pt>
                <c:pt idx="2">
                  <c:v>24426000</c:v>
                </c:pt>
                <c:pt idx="3">
                  <c:v>8004000</c:v>
                </c:pt>
                <c:pt idx="4">
                  <c:v>0</c:v>
                </c:pt>
                <c:pt idx="5">
                  <c:v>52003000</c:v>
                </c:pt>
                <c:pt idx="6">
                  <c:v>6762000</c:v>
                </c:pt>
                <c:pt idx="7">
                  <c:v>31021480</c:v>
                </c:pt>
                <c:pt idx="8">
                  <c:v>0</c:v>
                </c:pt>
                <c:pt idx="9">
                  <c:v>155991520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A7F-8B6F-A643BEF6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318504"/>
        <c:axId val="427316536"/>
      </c:barChart>
      <c:catAx>
        <c:axId val="42731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16536"/>
        <c:crosses val="autoZero"/>
        <c:auto val="1"/>
        <c:lblAlgn val="ctr"/>
        <c:lblOffset val="100"/>
        <c:noMultiLvlLbl val="0"/>
      </c:catAx>
      <c:valAx>
        <c:axId val="42731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1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Overview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c Gari'!A1"/><Relationship Id="rId3" Type="http://schemas.openxmlformats.org/officeDocument/2006/relationships/hyperlink" Target="#'Overall Graph'!A1"/><Relationship Id="rId7" Type="http://schemas.openxmlformats.org/officeDocument/2006/relationships/hyperlink" Target="#Production!A1"/><Relationship Id="rId2" Type="http://schemas.openxmlformats.org/officeDocument/2006/relationships/hyperlink" Target="#'Overall Sums'!A1"/><Relationship Id="rId1" Type="http://schemas.openxmlformats.org/officeDocument/2006/relationships/hyperlink" Target="#'VC Map'!A1"/><Relationship Id="rId6" Type="http://schemas.openxmlformats.org/officeDocument/2006/relationships/hyperlink" Target="#'Sum Trade'!A1"/><Relationship Id="rId11" Type="http://schemas.openxmlformats.org/officeDocument/2006/relationships/hyperlink" Target="#Start!A1"/><Relationship Id="rId5" Type="http://schemas.openxmlformats.org/officeDocument/2006/relationships/hyperlink" Target="#'Sum Processing'!A1"/><Relationship Id="rId10" Type="http://schemas.openxmlformats.org/officeDocument/2006/relationships/hyperlink" Target="#'Break-down of IGS and Deprec'!A1"/><Relationship Id="rId4" Type="http://schemas.openxmlformats.org/officeDocument/2006/relationships/hyperlink" Target="#'Sum Production'!A1"/><Relationship Id="rId9" Type="http://schemas.openxmlformats.org/officeDocument/2006/relationships/hyperlink" Target="#'Trade W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Overview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Overview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Overview!A1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Overview!A1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verview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6</xdr:row>
      <xdr:rowOff>47625</xdr:rowOff>
    </xdr:from>
    <xdr:to>
      <xdr:col>12</xdr:col>
      <xdr:colOff>449580</xdr:colOff>
      <xdr:row>11</xdr:row>
      <xdr:rowOff>6350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C07CC30-DECB-478B-9BF4-972340A4E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000125"/>
          <a:ext cx="1068705" cy="110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523875</xdr:colOff>
      <xdr:row>18</xdr:row>
      <xdr:rowOff>47625</xdr:rowOff>
    </xdr:from>
    <xdr:to>
      <xdr:col>13</xdr:col>
      <xdr:colOff>304800</xdr:colOff>
      <xdr:row>22</xdr:row>
      <xdr:rowOff>157480</xdr:rowOff>
    </xdr:to>
    <xdr:pic>
      <xdr:nvPicPr>
        <xdr:cNvPr id="13" name="Picture 12" descr="logo IFAD">
          <a:extLst>
            <a:ext uri="{FF2B5EF4-FFF2-40B4-BE49-F238E27FC236}">
              <a16:creationId xmlns:a16="http://schemas.microsoft.com/office/drawing/2014/main" id="{F992A064-EAE4-4228-8E08-5FE03F3D18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905250"/>
          <a:ext cx="1552575" cy="102425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10</xdr:col>
      <xdr:colOff>495300</xdr:colOff>
      <xdr:row>12</xdr:row>
      <xdr:rowOff>76200</xdr:rowOff>
    </xdr:from>
    <xdr:to>
      <xdr:col>15</xdr:col>
      <xdr:colOff>314325</xdr:colOff>
      <xdr:row>16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63C0C5D-CF23-4484-AF09-7EF167B43F9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562225"/>
          <a:ext cx="277177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133349</xdr:colOff>
      <xdr:row>21</xdr:row>
      <xdr:rowOff>152401</xdr:rowOff>
    </xdr:from>
    <xdr:to>
      <xdr:col>8</xdr:col>
      <xdr:colOff>142874</xdr:colOff>
      <xdr:row>22</xdr:row>
      <xdr:rowOff>209551</xdr:rowOff>
    </xdr:to>
    <xdr:sp macro="" textlink="">
      <xdr:nvSpPr>
        <xdr:cNvPr id="15" name="Rounded Rectangl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B8D3DF-D8BF-4C8C-8ADE-B40CC5AAD480}"/>
            </a:ext>
          </a:extLst>
        </xdr:cNvPr>
        <xdr:cNvSpPr/>
      </xdr:nvSpPr>
      <xdr:spPr>
        <a:xfrm>
          <a:off x="4019549" y="4886326"/>
          <a:ext cx="1781175" cy="28575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        </a:t>
          </a:r>
          <a:r>
            <a:rPr lang="en-GB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152400</xdr:rowOff>
    </xdr:from>
    <xdr:to>
      <xdr:col>17</xdr:col>
      <xdr:colOff>304799</xdr:colOff>
      <xdr:row>2</xdr:row>
      <xdr:rowOff>66675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506200" y="152400"/>
          <a:ext cx="1523999" cy="3048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152400</xdr:rowOff>
    </xdr:from>
    <xdr:to>
      <xdr:col>16</xdr:col>
      <xdr:colOff>9525</xdr:colOff>
      <xdr:row>2</xdr:row>
      <xdr:rowOff>66675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9467850" y="152400"/>
          <a:ext cx="1533525" cy="32385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0</xdr:row>
      <xdr:rowOff>152400</xdr:rowOff>
    </xdr:from>
    <xdr:to>
      <xdr:col>13</xdr:col>
      <xdr:colOff>228601</xdr:colOff>
      <xdr:row>2</xdr:row>
      <xdr:rowOff>66675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087100" y="152400"/>
          <a:ext cx="1543051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714375</xdr:colOff>
      <xdr:row>70</xdr:row>
      <xdr:rowOff>152400</xdr:rowOff>
    </xdr:from>
    <xdr:to>
      <xdr:col>15</xdr:col>
      <xdr:colOff>228601</xdr:colOff>
      <xdr:row>72</xdr:row>
      <xdr:rowOff>66675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28895-C8A6-422A-A2D7-D9BDDEFCBEA1}"/>
            </a:ext>
          </a:extLst>
        </xdr:cNvPr>
        <xdr:cNvSpPr/>
      </xdr:nvSpPr>
      <xdr:spPr>
        <a:xfrm>
          <a:off x="8543925" y="152400"/>
          <a:ext cx="2057401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5</xdr:row>
      <xdr:rowOff>0</xdr:rowOff>
    </xdr:from>
    <xdr:to>
      <xdr:col>20</xdr:col>
      <xdr:colOff>581025</xdr:colOff>
      <xdr:row>6</xdr:row>
      <xdr:rowOff>66675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Value Chain Map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6</xdr:row>
      <xdr:rowOff>152400</xdr:rowOff>
    </xdr:from>
    <xdr:to>
      <xdr:col>20</xdr:col>
      <xdr:colOff>581025</xdr:colOff>
      <xdr:row>8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Overall Sums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8</xdr:row>
      <xdr:rowOff>152400</xdr:rowOff>
    </xdr:from>
    <xdr:to>
      <xdr:col>20</xdr:col>
      <xdr:colOff>581025</xdr:colOff>
      <xdr:row>10</xdr:row>
      <xdr:rowOff>66675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Overall Graph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10</xdr:row>
      <xdr:rowOff>152400</xdr:rowOff>
    </xdr:from>
    <xdr:to>
      <xdr:col>20</xdr:col>
      <xdr:colOff>581025</xdr:colOff>
      <xdr:row>12</xdr:row>
      <xdr:rowOff>66675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 Production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12</xdr:row>
      <xdr:rowOff>152400</xdr:rowOff>
    </xdr:from>
    <xdr:to>
      <xdr:col>20</xdr:col>
      <xdr:colOff>581025</xdr:colOff>
      <xdr:row>14</xdr:row>
      <xdr:rowOff>66675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 Processing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14</xdr:row>
      <xdr:rowOff>152400</xdr:rowOff>
    </xdr:from>
    <xdr:to>
      <xdr:col>20</xdr:col>
      <xdr:colOff>581025</xdr:colOff>
      <xdr:row>16</xdr:row>
      <xdr:rowOff>66675</xdr:rowOff>
    </xdr:to>
    <xdr:sp macro="" textlink="">
      <xdr:nvSpPr>
        <xdr:cNvPr id="8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Sum Trade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16</xdr:row>
      <xdr:rowOff>152400</xdr:rowOff>
    </xdr:from>
    <xdr:to>
      <xdr:col>20</xdr:col>
      <xdr:colOff>581025</xdr:colOff>
      <xdr:row>18</xdr:row>
      <xdr:rowOff>66675</xdr:rowOff>
    </xdr:to>
    <xdr:sp macro="" textlink="">
      <xdr:nvSpPr>
        <xdr:cNvPr id="9" name="Rounded Rectang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Production of Roots</a:t>
          </a:r>
        </a:p>
      </xdr:txBody>
    </xdr:sp>
    <xdr:clientData/>
  </xdr:twoCellAnchor>
  <xdr:twoCellAnchor>
    <xdr:from>
      <xdr:col>17</xdr:col>
      <xdr:colOff>552450</xdr:colOff>
      <xdr:row>18</xdr:row>
      <xdr:rowOff>152400</xdr:rowOff>
    </xdr:from>
    <xdr:to>
      <xdr:col>20</xdr:col>
      <xdr:colOff>581025</xdr:colOff>
      <xdr:row>20</xdr:row>
      <xdr:rowOff>66675</xdr:rowOff>
    </xdr:to>
    <xdr:sp macro="" textlink="">
      <xdr:nvSpPr>
        <xdr:cNvPr id="10" name="Rounded 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Processing of Gari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20</xdr:row>
      <xdr:rowOff>152400</xdr:rowOff>
    </xdr:from>
    <xdr:to>
      <xdr:col>20</xdr:col>
      <xdr:colOff>581025</xdr:colOff>
      <xdr:row>22</xdr:row>
      <xdr:rowOff>66675</xdr:rowOff>
    </xdr:to>
    <xdr:sp macro="" textlink="">
      <xdr:nvSpPr>
        <xdr:cNvPr id="11" name="Rounded Rectangle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839700" y="790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Trade, Wholesale of Roots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22</xdr:row>
      <xdr:rowOff>152400</xdr:rowOff>
    </xdr:from>
    <xdr:to>
      <xdr:col>20</xdr:col>
      <xdr:colOff>581025</xdr:colOff>
      <xdr:row>24</xdr:row>
      <xdr:rowOff>66675</xdr:rowOff>
    </xdr:to>
    <xdr:sp macro="" textlink="">
      <xdr:nvSpPr>
        <xdr:cNvPr id="12" name="Rounded 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839700" y="4219575"/>
          <a:ext cx="1800225" cy="29527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Break-down.</a:t>
          </a:r>
          <a:r>
            <a:rPr lang="en-GB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IGS &amp; Deprec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552450</xdr:colOff>
      <xdr:row>3</xdr:row>
      <xdr:rowOff>76200</xdr:rowOff>
    </xdr:from>
    <xdr:to>
      <xdr:col>20</xdr:col>
      <xdr:colOff>581025</xdr:colOff>
      <xdr:row>4</xdr:row>
      <xdr:rowOff>114300</xdr:rowOff>
    </xdr:to>
    <xdr:sp macro="" textlink="">
      <xdr:nvSpPr>
        <xdr:cNvPr id="19" name="Rounded Rectangl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C425414-9B90-4C8F-AE3C-13D9591E7666}"/>
            </a:ext>
          </a:extLst>
        </xdr:cNvPr>
        <xdr:cNvSpPr/>
      </xdr:nvSpPr>
      <xdr:spPr>
        <a:xfrm>
          <a:off x="12839700" y="771525"/>
          <a:ext cx="1800225" cy="276225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</a:t>
          </a: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182879</xdr:rowOff>
    </xdr:from>
    <xdr:to>
      <xdr:col>15</xdr:col>
      <xdr:colOff>322585</xdr:colOff>
      <xdr:row>16</xdr:row>
      <xdr:rowOff>143040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14325" y="611504"/>
          <a:ext cx="12552685" cy="2627161"/>
          <a:chOff x="179512" y="764704"/>
          <a:chExt cx="8856985" cy="2883313"/>
        </a:xfrm>
      </xdr:grpSpPr>
      <xdr:sp macro="" textlink="">
        <xdr:nvSpPr>
          <xdr:cNvPr id="3" name="Text Box 1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149" y="818680"/>
            <a:ext cx="792205" cy="5232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/>
              <a:t>Specific </a:t>
            </a:r>
          </a:p>
          <a:p>
            <a:r>
              <a:rPr lang="en-GB" sz="1400" b="1"/>
              <a:t>inputs</a:t>
            </a:r>
          </a:p>
        </xdr:txBody>
      </xdr:sp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79660" y="764705"/>
            <a:ext cx="1640676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" name="Text Box 1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1325" y="925042"/>
            <a:ext cx="1006429" cy="3077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/>
              <a:t>Production</a:t>
            </a:r>
          </a:p>
        </xdr:txBody>
      </xdr:sp>
      <xdr:sp macro="" textlink="">
        <xdr:nvSpPr>
          <xdr:cNvPr id="6" name="AutoShape 1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596351" y="764705"/>
            <a:ext cx="1678934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AutoShape 19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426395" y="764705"/>
            <a:ext cx="1728913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Text Box 2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80409" y="818680"/>
            <a:ext cx="930511" cy="5232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/>
              <a:t>Trans-</a:t>
            </a:r>
          </a:p>
          <a:p>
            <a:r>
              <a:rPr lang="en-GB" sz="1400" b="1"/>
              <a:t>formation</a:t>
            </a:r>
          </a:p>
        </xdr:txBody>
      </xdr:sp>
      <xdr:sp macro="" textlink="">
        <xdr:nvSpPr>
          <xdr:cNvPr id="9" name="AutoShape 2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940871" y="764705"/>
            <a:ext cx="1671838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Text Box 2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88602" y="817548"/>
            <a:ext cx="1163717" cy="5232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/>
              <a:t>Distribution, </a:t>
            </a:r>
          </a:p>
          <a:p>
            <a:r>
              <a:rPr lang="en-GB" sz="1400" b="1"/>
              <a:t>marketing</a:t>
            </a:r>
          </a:p>
        </xdr:txBody>
      </xdr:sp>
      <xdr:sp macro="" textlink="">
        <xdr:nvSpPr>
          <xdr:cNvPr id="11" name="Text Box 2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83971" y="818680"/>
            <a:ext cx="840295" cy="5232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/>
              <a:t>Consum-</a:t>
            </a:r>
          </a:p>
          <a:p>
            <a:r>
              <a:rPr lang="en-GB" sz="1400" b="1"/>
              <a:t>ption</a:t>
            </a:r>
          </a:p>
        </xdr:txBody>
      </xdr:sp>
      <xdr:sp macro="" textlink="">
        <xdr:nvSpPr>
          <xdr:cNvPr id="12" name="AutoShape 2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393933" y="764705"/>
            <a:ext cx="1642564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Textfeld 20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79512" y="1484784"/>
            <a:ext cx="1136842" cy="175432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Provision of </a:t>
            </a:r>
          </a:p>
          <a:p>
            <a:r>
              <a:rPr lang="en-US" sz="1200"/>
              <a:t>Land</a:t>
            </a:r>
          </a:p>
          <a:p>
            <a:r>
              <a:rPr lang="en-US" sz="1200"/>
              <a:t>Planting materials</a:t>
            </a:r>
          </a:p>
          <a:p>
            <a:r>
              <a:rPr lang="en-US" sz="1200"/>
              <a:t>Weedicides</a:t>
            </a:r>
          </a:p>
          <a:p>
            <a:r>
              <a:rPr lang="en-US" sz="1200"/>
              <a:t>Mechanization Equipment's</a:t>
            </a:r>
          </a:p>
          <a:p>
            <a:r>
              <a:rPr lang="en-US" sz="1200"/>
              <a:t>Labour</a:t>
            </a:r>
          </a:p>
          <a:p>
            <a:endParaRPr lang="en-US" sz="1200"/>
          </a:p>
        </xdr:txBody>
      </xdr:sp>
      <xdr:sp macro="" textlink="">
        <xdr:nvSpPr>
          <xdr:cNvPr id="14" name="Textfeld 2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691681" y="1484783"/>
            <a:ext cx="1296144" cy="1544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Land preparation</a:t>
            </a:r>
          </a:p>
          <a:p>
            <a:r>
              <a:rPr lang="en-US" sz="1200"/>
              <a:t>Planting</a:t>
            </a:r>
          </a:p>
          <a:p>
            <a:r>
              <a:rPr lang="en-US" sz="1200"/>
              <a:t>GAP (maintenance</a:t>
            </a:r>
            <a:r>
              <a:rPr lang="en-US" sz="1200" baseline="0"/>
              <a:t> etc.)</a:t>
            </a:r>
          </a:p>
          <a:p>
            <a:r>
              <a:rPr lang="en-US" sz="1200"/>
              <a:t>Weeding,</a:t>
            </a:r>
          </a:p>
          <a:p>
            <a:r>
              <a:rPr lang="en-US" sz="1200"/>
              <a:t>Harvesting</a:t>
            </a:r>
          </a:p>
          <a:p>
            <a:r>
              <a:rPr lang="en-US" sz="1200"/>
              <a:t>Sorting</a:t>
            </a:r>
          </a:p>
          <a:p>
            <a:endParaRPr lang="en-US" sz="1200"/>
          </a:p>
        </xdr:txBody>
      </xdr:sp>
      <xdr:sp macro="" textlink="">
        <xdr:nvSpPr>
          <xdr:cNvPr id="15" name="Textfeld 2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4644007" y="1484784"/>
            <a:ext cx="1152127" cy="21632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Collecting</a:t>
            </a:r>
          </a:p>
          <a:p>
            <a:r>
              <a:rPr lang="en-US" sz="1200"/>
              <a:t>Peeling</a:t>
            </a:r>
          </a:p>
          <a:p>
            <a:r>
              <a:rPr lang="en-US" sz="1200"/>
              <a:t>Washing</a:t>
            </a:r>
          </a:p>
          <a:p>
            <a:r>
              <a:rPr lang="en-US" sz="1200"/>
              <a:t>Grating/milling</a:t>
            </a:r>
          </a:p>
          <a:p>
            <a:r>
              <a:rPr lang="en-US" sz="1200"/>
              <a:t>Pressing</a:t>
            </a:r>
          </a:p>
          <a:p>
            <a:r>
              <a:rPr lang="en-US" sz="1200"/>
              <a:t>Drying</a:t>
            </a:r>
          </a:p>
          <a:p>
            <a:r>
              <a:rPr lang="en-US" sz="1200"/>
              <a:t>Milling</a:t>
            </a:r>
          </a:p>
          <a:p>
            <a:r>
              <a:rPr lang="en-US" sz="1200"/>
              <a:t>Storage</a:t>
            </a:r>
          </a:p>
          <a:p>
            <a:r>
              <a:rPr lang="en-US" sz="1200"/>
              <a:t>Transportation</a:t>
            </a:r>
          </a:p>
          <a:p>
            <a:endParaRPr lang="en-US" sz="1200"/>
          </a:p>
        </xdr:txBody>
      </xdr:sp>
      <xdr:sp macro="" textlink="">
        <xdr:nvSpPr>
          <xdr:cNvPr id="16" name="Textfeld 2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6155307" y="1484783"/>
            <a:ext cx="1080987" cy="9260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Packaging</a:t>
            </a:r>
          </a:p>
          <a:p>
            <a:r>
              <a:rPr lang="en-US" sz="1200"/>
              <a:t>Storing</a:t>
            </a:r>
          </a:p>
          <a:p>
            <a:r>
              <a:rPr lang="en-US" sz="1200"/>
              <a:t>Transport</a:t>
            </a:r>
          </a:p>
          <a:p>
            <a:r>
              <a:rPr lang="en-US" sz="1200"/>
              <a:t>Wholesaling</a:t>
            </a:r>
          </a:p>
        </xdr:txBody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5189" y="817548"/>
            <a:ext cx="1154803" cy="5232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b="1"/>
              <a:t>Intermediate</a:t>
            </a:r>
          </a:p>
          <a:p>
            <a:pPr algn="ctr"/>
            <a:r>
              <a:rPr lang="en-GB" sz="1400" b="1"/>
              <a:t>trade</a:t>
            </a:r>
          </a:p>
        </xdr:txBody>
      </xdr:sp>
      <xdr:sp macro="" textlink="">
        <xdr:nvSpPr>
          <xdr:cNvPr id="18" name="AutoShap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3059683" y="764704"/>
            <a:ext cx="1584325" cy="622300"/>
          </a:xfrm>
          <a:prstGeom prst="chevron">
            <a:avLst>
              <a:gd name="adj" fmla="val 63648"/>
            </a:avLst>
          </a:prstGeom>
          <a:noFill/>
          <a:ln w="31750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Textfeld 30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524328" y="1484784"/>
            <a:ext cx="1368152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End Users</a:t>
            </a:r>
          </a:p>
        </xdr:txBody>
      </xdr:sp>
      <xdr:sp macro="" textlink="">
        <xdr:nvSpPr>
          <xdr:cNvPr id="20" name="Textfeld 58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3131840" y="1484784"/>
            <a:ext cx="1296144" cy="107586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Collecting </a:t>
            </a:r>
          </a:p>
          <a:p>
            <a:r>
              <a:rPr lang="en-US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Bagging/re-bagging</a:t>
            </a:r>
          </a:p>
          <a:p>
            <a:r>
              <a:rPr lang="en-US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Transportation</a:t>
            </a:r>
            <a:endParaRPr lang="en-GB" sz="1200">
              <a:effectLst/>
            </a:endParaRPr>
          </a:p>
          <a:p>
            <a:r>
              <a:rPr lang="en-US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Aggregation</a:t>
            </a:r>
            <a:endParaRPr lang="en-GB" sz="1200">
              <a:effectLst/>
            </a:endParaRPr>
          </a:p>
          <a:p>
            <a:endParaRPr lang="en-US" sz="1200"/>
          </a:p>
          <a:p>
            <a:r>
              <a:rPr lang="en-US" sz="1200"/>
              <a:t> </a:t>
            </a:r>
          </a:p>
          <a:p>
            <a:endParaRPr lang="en-US" sz="1200"/>
          </a:p>
        </xdr:txBody>
      </xdr:sp>
    </xdr:grpSp>
    <xdr:clientData/>
  </xdr:twoCellAnchor>
  <xdr:twoCellAnchor>
    <xdr:from>
      <xdr:col>1</xdr:col>
      <xdr:colOff>0</xdr:colOff>
      <xdr:row>17</xdr:row>
      <xdr:rowOff>0</xdr:rowOff>
    </xdr:from>
    <xdr:to>
      <xdr:col>15</xdr:col>
      <xdr:colOff>250576</xdr:colOff>
      <xdr:row>32</xdr:row>
      <xdr:rowOff>90036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314325" y="3286125"/>
          <a:ext cx="12480676" cy="2947536"/>
          <a:chOff x="179512" y="3284984"/>
          <a:chExt cx="8784976" cy="2833236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4663205" y="3573017"/>
            <a:ext cx="278911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Industrial Processors</a:t>
            </a:r>
          </a:p>
          <a:p>
            <a:pPr algn="ctr"/>
            <a:r>
              <a:rPr lang="en-GB" sz="1400" i="1"/>
              <a:t>HQCF, Starch, Konkonte Powder, </a:t>
            </a:r>
          </a:p>
          <a:p>
            <a:pPr algn="ctr"/>
            <a:r>
              <a:rPr lang="en-GB" sz="1400" i="1"/>
              <a:t>Chips 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855761" y="3573017"/>
            <a:ext cx="913087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Commercial </a:t>
            </a:r>
          </a:p>
          <a:p>
            <a:pPr algn="ctr"/>
            <a:r>
              <a:rPr lang="en-GB" sz="1400" i="1"/>
              <a:t>farmers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7762180" y="4077072"/>
            <a:ext cx="1130300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Breweries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6299795" y="4725144"/>
            <a:ext cx="115252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GB" sz="1400" i="1">
                <a:solidFill>
                  <a:prstClr val="black"/>
                </a:solidFill>
              </a:rPr>
              <a:t>Traders</a:t>
            </a:r>
            <a:endParaRPr lang="en-GB" sz="1400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79512" y="3284984"/>
            <a:ext cx="1258888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Producers of quality </a:t>
            </a:r>
          </a:p>
          <a:p>
            <a:pPr algn="ctr"/>
            <a:r>
              <a:rPr lang="en-GB" sz="1400" i="1"/>
              <a:t>planting materials </a:t>
            </a: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79512" y="4149080"/>
            <a:ext cx="1258888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Agro inputs </a:t>
            </a:r>
          </a:p>
          <a:p>
            <a:pPr algn="ctr"/>
            <a:r>
              <a:rPr lang="en-GB" sz="1400" i="1"/>
              <a:t>dealers</a:t>
            </a:r>
            <a:endParaRPr lang="en-GB" sz="1400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7762180" y="3320988"/>
            <a:ext cx="1130300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Bakeries </a:t>
            </a:r>
          </a:p>
          <a:p>
            <a:pPr algn="ctr"/>
            <a:r>
              <a:rPr lang="en-GB" sz="1400" i="1"/>
              <a:t>etc</a:t>
            </a: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3228851" y="4653136"/>
            <a:ext cx="112712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i="1"/>
              <a:t>Secondary</a:t>
            </a:r>
          </a:p>
          <a:p>
            <a:r>
              <a:rPr lang="en-GB" sz="1400" i="1"/>
              <a:t>Aggregators</a:t>
            </a: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835696" y="4653136"/>
            <a:ext cx="913087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Smallholder</a:t>
            </a:r>
          </a:p>
          <a:p>
            <a:pPr algn="ctr"/>
            <a:r>
              <a:rPr lang="en-GB" sz="1400" i="1"/>
              <a:t>Farmers</a:t>
            </a: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179512" y="5157192"/>
            <a:ext cx="1258888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Land Owners </a:t>
            </a:r>
          </a:p>
        </xdr:txBody>
      </xdr:sp>
      <xdr:cxnSp macro="">
        <xdr:nvCxnSpPr>
          <xdr:cNvPr id="32" name="Gewinkelte Verbindung 34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CxnSpPr>
            <a:stCxn id="26" idx="3"/>
            <a:endCxn id="23" idx="1"/>
          </xdr:cNvCxnSpPr>
        </xdr:nvCxnSpPr>
        <xdr:spPr>
          <a:xfrm>
            <a:off x="1438400" y="3573016"/>
            <a:ext cx="417361" cy="288033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Gewinkelte Verbindung 36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>
            <a:stCxn id="27" idx="3"/>
            <a:endCxn id="23" idx="1"/>
          </xdr:cNvCxnSpPr>
        </xdr:nvCxnSpPr>
        <xdr:spPr>
          <a:xfrm flipV="1">
            <a:off x="1438400" y="3861049"/>
            <a:ext cx="417361" cy="576063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Gewinkelte Verbindung 38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>
            <a:stCxn id="27" idx="3"/>
            <a:endCxn id="30" idx="1"/>
          </xdr:cNvCxnSpPr>
        </xdr:nvCxnSpPr>
        <xdr:spPr>
          <a:xfrm>
            <a:off x="1438400" y="4437112"/>
            <a:ext cx="397296" cy="504056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Gewinkelte Verbindung 4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CxnSpPr>
            <a:stCxn id="31" idx="3"/>
            <a:endCxn id="30" idx="1"/>
          </xdr:cNvCxnSpPr>
        </xdr:nvCxnSpPr>
        <xdr:spPr>
          <a:xfrm flipV="1">
            <a:off x="1438400" y="4941168"/>
            <a:ext cx="397296" cy="504056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Gewinkelte Verbindung 42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>
            <a:stCxn id="23" idx="3"/>
            <a:endCxn id="22" idx="1"/>
          </xdr:cNvCxnSpPr>
        </xdr:nvCxnSpPr>
        <xdr:spPr>
          <a:xfrm>
            <a:off x="2768848" y="3861049"/>
            <a:ext cx="1894357" cy="12700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Gewinkelte Verbindung 49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CxnSpPr>
            <a:stCxn id="22" idx="3"/>
            <a:endCxn id="28" idx="1"/>
          </xdr:cNvCxnSpPr>
        </xdr:nvCxnSpPr>
        <xdr:spPr>
          <a:xfrm flipV="1">
            <a:off x="7452320" y="3609020"/>
            <a:ext cx="309860" cy="252029"/>
          </a:xfrm>
          <a:prstGeom prst="bentConnector3">
            <a:avLst>
              <a:gd name="adj1" fmla="val 50000"/>
            </a:avLst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Gewinkelte Verbindung 51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>
            <a:stCxn id="22" idx="3"/>
            <a:endCxn id="24" idx="1"/>
          </xdr:cNvCxnSpPr>
        </xdr:nvCxnSpPr>
        <xdr:spPr>
          <a:xfrm>
            <a:off x="7452320" y="3861049"/>
            <a:ext cx="309860" cy="504055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Gewinkelte Verbindung 55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CxnSpPr>
            <a:stCxn id="25" idx="3"/>
            <a:endCxn id="24" idx="1"/>
          </xdr:cNvCxnSpPr>
        </xdr:nvCxnSpPr>
        <xdr:spPr>
          <a:xfrm flipV="1">
            <a:off x="7452320" y="4365104"/>
            <a:ext cx="309860" cy="648072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1858713" y="5542156"/>
            <a:ext cx="913087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Organized</a:t>
            </a:r>
          </a:p>
          <a:p>
            <a:pPr algn="ctr"/>
            <a:r>
              <a:rPr lang="en-GB" sz="1400" i="1"/>
              <a:t>Farmer grps</a:t>
            </a: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7785898" y="4797152"/>
            <a:ext cx="1130300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Plywood </a:t>
            </a:r>
          </a:p>
          <a:p>
            <a:pPr algn="ctr"/>
            <a:r>
              <a:rPr lang="en-GB" sz="1400" i="1"/>
              <a:t>makers</a:t>
            </a: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7834188" y="5517232"/>
            <a:ext cx="1130300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i="1"/>
              <a:t>Export Market</a:t>
            </a:r>
          </a:p>
        </xdr:txBody>
      </xdr:sp>
      <xdr:cxnSp macro="">
        <xdr:nvCxnSpPr>
          <xdr:cNvPr id="43" name="Gewinkelte Verbindung 51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/>
        </xdr:nvCxnSpPr>
        <xdr:spPr>
          <a:xfrm rot="16200000" flipH="1">
            <a:off x="7261387" y="5254289"/>
            <a:ext cx="792087" cy="309860"/>
          </a:xfrm>
          <a:prstGeom prst="bentConnector3">
            <a:avLst>
              <a:gd name="adj1" fmla="val 50000"/>
            </a:avLst>
          </a:prstGeom>
          <a:ln w="28575"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CxnSpPr>
            <a:endCxn id="41" idx="1"/>
          </xdr:cNvCxnSpPr>
        </xdr:nvCxnSpPr>
        <xdr:spPr>
          <a:xfrm>
            <a:off x="7644906" y="5085184"/>
            <a:ext cx="140992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4737798" y="4741624"/>
            <a:ext cx="115252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GB" sz="1400" i="1">
                <a:solidFill>
                  <a:prstClr val="black"/>
                </a:solidFill>
              </a:rPr>
              <a:t>Gari, Agbelima</a:t>
            </a:r>
          </a:p>
          <a:p>
            <a:pPr lvl="0" algn="ctr"/>
            <a:r>
              <a:rPr lang="en-GB" sz="1400" i="1">
                <a:solidFill>
                  <a:prstClr val="black"/>
                </a:solidFill>
              </a:rPr>
              <a:t>Processors</a:t>
            </a:r>
            <a:endParaRPr lang="en-GB" sz="1400"/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3203848" y="4005064"/>
            <a:ext cx="112712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i="1"/>
              <a:t>Farmer </a:t>
            </a:r>
          </a:p>
          <a:p>
            <a:r>
              <a:rPr lang="en-GB" sz="1400" i="1"/>
              <a:t>Agents</a:t>
            </a: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3216349" y="5479504"/>
            <a:ext cx="1127125" cy="57606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 anchorCtr="1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i="1"/>
              <a:t>Primary </a:t>
            </a:r>
          </a:p>
          <a:p>
            <a:r>
              <a:rPr lang="en-GB" sz="1400" i="1"/>
              <a:t>Aggregators</a:t>
            </a:r>
          </a:p>
        </xdr:txBody>
      </xdr:sp>
      <xdr:cxnSp macro="">
        <xdr:nvCxnSpPr>
          <xdr:cNvPr id="48" name="Elbow Connector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CxnSpPr>
            <a:stCxn id="31" idx="3"/>
            <a:endCxn id="40" idx="1"/>
          </xdr:cNvCxnSpPr>
        </xdr:nvCxnSpPr>
        <xdr:spPr>
          <a:xfrm>
            <a:off x="1438400" y="5445224"/>
            <a:ext cx="420313" cy="384964"/>
          </a:xfrm>
          <a:prstGeom prst="bentConnector3">
            <a:avLst/>
          </a:prstGeom>
          <a:ln w="28575"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CxnSpPr/>
        </xdr:nvCxnSpPr>
        <xdr:spPr>
          <a:xfrm>
            <a:off x="2915816" y="3861048"/>
            <a:ext cx="23017" cy="1906488"/>
          </a:xfrm>
          <a:prstGeom prst="line">
            <a:avLst/>
          </a:prstGeom>
          <a:ln w="38100"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CxnSpPr>
            <a:stCxn id="30" idx="3"/>
            <a:endCxn id="29" idx="1"/>
          </xdr:cNvCxnSpPr>
        </xdr:nvCxnSpPr>
        <xdr:spPr>
          <a:xfrm>
            <a:off x="2748783" y="4941168"/>
            <a:ext cx="480068" cy="0"/>
          </a:xfrm>
          <a:prstGeom prst="straightConnector1">
            <a:avLst/>
          </a:prstGeom>
          <a:ln w="19050"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CxnSpPr>
            <a:endCxn id="29" idx="2"/>
          </xdr:cNvCxnSpPr>
        </xdr:nvCxnSpPr>
        <xdr:spPr>
          <a:xfrm flipH="1" flipV="1">
            <a:off x="3792414" y="5229200"/>
            <a:ext cx="18106" cy="256706"/>
          </a:xfrm>
          <a:prstGeom prst="straightConnector1">
            <a:avLst/>
          </a:prstGeom>
          <a:ln w="19050">
            <a:solidFill>
              <a:schemeClr val="accent1"/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CxnSpPr/>
        </xdr:nvCxnSpPr>
        <xdr:spPr>
          <a:xfrm>
            <a:off x="2771800" y="5805264"/>
            <a:ext cx="480068" cy="0"/>
          </a:xfrm>
          <a:prstGeom prst="straightConnector1">
            <a:avLst/>
          </a:prstGeom>
          <a:ln w="19050"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CxnSpPr/>
        </xdr:nvCxnSpPr>
        <xdr:spPr>
          <a:xfrm>
            <a:off x="4460786" y="3897052"/>
            <a:ext cx="14429" cy="1128092"/>
          </a:xfrm>
          <a:prstGeom prst="line">
            <a:avLst/>
          </a:prstGeom>
          <a:ln w="38100"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CxnSpPr/>
        </xdr:nvCxnSpPr>
        <xdr:spPr>
          <a:xfrm>
            <a:off x="4355976" y="5085184"/>
            <a:ext cx="424707" cy="0"/>
          </a:xfrm>
          <a:prstGeom prst="straightConnector1">
            <a:avLst/>
          </a:prstGeom>
          <a:ln w="19050"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CxnSpPr>
            <a:endCxn id="46" idx="1"/>
          </xdr:cNvCxnSpPr>
        </xdr:nvCxnSpPr>
        <xdr:spPr>
          <a:xfrm>
            <a:off x="2915816" y="4293096"/>
            <a:ext cx="288032" cy="0"/>
          </a:xfrm>
          <a:prstGeom prst="straightConnector1">
            <a:avLst/>
          </a:prstGeom>
          <a:ln w="19050"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CxnSpPr/>
        </xdr:nvCxnSpPr>
        <xdr:spPr>
          <a:xfrm>
            <a:off x="5820124" y="5013176"/>
            <a:ext cx="480068" cy="0"/>
          </a:xfrm>
          <a:prstGeom prst="straightConnector1">
            <a:avLst/>
          </a:prstGeom>
          <a:ln w="19050"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628651</xdr:colOff>
      <xdr:row>0</xdr:row>
      <xdr:rowOff>152400</xdr:rowOff>
    </xdr:from>
    <xdr:to>
      <xdr:col>12</xdr:col>
      <xdr:colOff>228601</xdr:colOff>
      <xdr:row>2</xdr:row>
      <xdr:rowOff>66675</xdr:rowOff>
    </xdr:to>
    <xdr:sp macro="" textlink="">
      <xdr:nvSpPr>
        <xdr:cNvPr id="58" name="Rounded Rectangle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628651</xdr:colOff>
      <xdr:row>0</xdr:row>
      <xdr:rowOff>152400</xdr:rowOff>
    </xdr:from>
    <xdr:to>
      <xdr:col>11</xdr:col>
      <xdr:colOff>228601</xdr:colOff>
      <xdr:row>2</xdr:row>
      <xdr:rowOff>66675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5</xdr:row>
      <xdr:rowOff>91440</xdr:rowOff>
    </xdr:from>
    <xdr:to>
      <xdr:col>10</xdr:col>
      <xdr:colOff>762000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628651</xdr:colOff>
      <xdr:row>0</xdr:row>
      <xdr:rowOff>152400</xdr:rowOff>
    </xdr:from>
    <xdr:to>
      <xdr:col>11</xdr:col>
      <xdr:colOff>228601</xdr:colOff>
      <xdr:row>2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Overview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11</xdr:row>
      <xdr:rowOff>99060</xdr:rowOff>
    </xdr:from>
    <xdr:to>
      <xdr:col>5</xdr:col>
      <xdr:colOff>403860</xdr:colOff>
      <xdr:row>31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838200</xdr:colOff>
      <xdr:row>11</xdr:row>
      <xdr:rowOff>114300</xdr:rowOff>
    </xdr:from>
    <xdr:to>
      <xdr:col>10</xdr:col>
      <xdr:colOff>883920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628651</xdr:colOff>
      <xdr:row>0</xdr:row>
      <xdr:rowOff>152400</xdr:rowOff>
    </xdr:from>
    <xdr:to>
      <xdr:col>11</xdr:col>
      <xdr:colOff>228601</xdr:colOff>
      <xdr:row>2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11</xdr:row>
      <xdr:rowOff>76200</xdr:rowOff>
    </xdr:from>
    <xdr:to>
      <xdr:col>5</xdr:col>
      <xdr:colOff>525780</xdr:colOff>
      <xdr:row>31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746760</xdr:colOff>
      <xdr:row>11</xdr:row>
      <xdr:rowOff>91440</xdr:rowOff>
    </xdr:from>
    <xdr:to>
      <xdr:col>10</xdr:col>
      <xdr:colOff>1051560</xdr:colOff>
      <xdr:row>31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628651</xdr:colOff>
      <xdr:row>0</xdr:row>
      <xdr:rowOff>152400</xdr:rowOff>
    </xdr:from>
    <xdr:to>
      <xdr:col>12</xdr:col>
      <xdr:colOff>228601</xdr:colOff>
      <xdr:row>2</xdr:row>
      <xdr:rowOff>66675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9</xdr:row>
      <xdr:rowOff>121920</xdr:rowOff>
    </xdr:from>
    <xdr:to>
      <xdr:col>5</xdr:col>
      <xdr:colOff>571500</xdr:colOff>
      <xdr:row>29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845820</xdr:colOff>
      <xdr:row>9</xdr:row>
      <xdr:rowOff>137160</xdr:rowOff>
    </xdr:from>
    <xdr:to>
      <xdr:col>10</xdr:col>
      <xdr:colOff>1028700</xdr:colOff>
      <xdr:row>29</xdr:row>
      <xdr:rowOff>137160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628651</xdr:colOff>
      <xdr:row>0</xdr:row>
      <xdr:rowOff>152400</xdr:rowOff>
    </xdr:from>
    <xdr:to>
      <xdr:col>11</xdr:col>
      <xdr:colOff>228601</xdr:colOff>
      <xdr:row>2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8572501" y="152400"/>
          <a:ext cx="1524000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0</xdr:row>
      <xdr:rowOff>152400</xdr:rowOff>
    </xdr:from>
    <xdr:to>
      <xdr:col>15</xdr:col>
      <xdr:colOff>228601</xdr:colOff>
      <xdr:row>2</xdr:row>
      <xdr:rowOff>66675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848725" y="152400"/>
          <a:ext cx="1562101" cy="342900"/>
        </a:xfrm>
        <a:prstGeom prst="round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Overview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"/>
  <sheetViews>
    <sheetView tabSelected="1" workbookViewId="0"/>
  </sheetViews>
  <sheetFormatPr defaultColWidth="8.85546875" defaultRowHeight="15" x14ac:dyDescent="0.25"/>
  <cols>
    <col min="1" max="1" width="3.42578125" style="6" customWidth="1"/>
    <col min="2" max="2" width="20.7109375" style="6" customWidth="1"/>
    <col min="3" max="3" width="16.42578125" style="6" customWidth="1"/>
    <col min="4" max="8" width="8.85546875" style="6"/>
    <col min="9" max="9" width="20.7109375" style="6" customWidth="1"/>
    <col min="10" max="10" width="16.7109375" style="6" customWidth="1"/>
    <col min="11" max="16384" width="8.85546875" style="6"/>
  </cols>
  <sheetData>
    <row r="2" spans="2:19" ht="15" customHeight="1" x14ac:dyDescent="0.25"/>
    <row r="3" spans="2:19" s="129" customFormat="1" ht="24.95" customHeight="1" x14ac:dyDescent="0.4">
      <c r="B3" s="128" t="s">
        <v>313</v>
      </c>
      <c r="C3" s="128"/>
      <c r="D3" s="128"/>
      <c r="E3" s="128"/>
      <c r="F3" s="128"/>
      <c r="G3" s="128"/>
      <c r="H3" s="128"/>
      <c r="K3" s="128" t="s">
        <v>307</v>
      </c>
    </row>
    <row r="4" spans="2:19" ht="15" customHeight="1" x14ac:dyDescent="0.25">
      <c r="K4" s="7"/>
    </row>
    <row r="5" spans="2:19" s="29" customFormat="1" ht="15" customHeight="1" x14ac:dyDescent="0.25">
      <c r="K5" s="126"/>
    </row>
    <row r="6" spans="2:19" s="14" customFormat="1" ht="18" customHeigh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S6" s="12"/>
    </row>
    <row r="7" spans="2:19" ht="18" customHeight="1" x14ac:dyDescent="0.3">
      <c r="C7" s="12"/>
      <c r="D7" s="12"/>
      <c r="E7" s="7"/>
      <c r="F7" s="7"/>
      <c r="G7" s="7"/>
      <c r="H7" s="7"/>
      <c r="I7" s="57"/>
      <c r="J7" s="7"/>
      <c r="K7" s="7"/>
      <c r="S7" s="12"/>
    </row>
    <row r="8" spans="2:19" ht="18" customHeight="1" x14ac:dyDescent="0.35">
      <c r="B8" s="124" t="s">
        <v>310</v>
      </c>
      <c r="C8" s="124"/>
      <c r="D8" s="124"/>
      <c r="E8" s="124"/>
      <c r="F8" s="124"/>
      <c r="G8" s="124"/>
      <c r="H8" s="124"/>
      <c r="I8" s="124"/>
      <c r="J8" s="124"/>
      <c r="K8" s="7"/>
      <c r="L8" s="7"/>
      <c r="M8" s="7"/>
    </row>
    <row r="9" spans="2:19" ht="18" customHeight="1" x14ac:dyDescent="0.35">
      <c r="B9" s="125" t="s">
        <v>312</v>
      </c>
      <c r="C9" s="125"/>
      <c r="D9" s="125"/>
      <c r="E9" s="125"/>
      <c r="F9" s="125"/>
      <c r="G9" s="125"/>
      <c r="H9" s="125"/>
      <c r="I9" s="125"/>
      <c r="J9" s="124"/>
      <c r="K9" s="7"/>
      <c r="L9" s="7"/>
      <c r="M9" s="7"/>
    </row>
    <row r="10" spans="2:19" ht="18" customHeight="1" x14ac:dyDescent="0.35">
      <c r="B10" s="125"/>
      <c r="C10" s="124"/>
      <c r="D10" s="125"/>
      <c r="E10" s="124"/>
      <c r="F10" s="124"/>
      <c r="G10" s="124"/>
      <c r="H10" s="124"/>
      <c r="I10" s="130"/>
      <c r="J10" s="124"/>
      <c r="K10" s="7"/>
      <c r="L10" s="7"/>
      <c r="M10" s="7"/>
    </row>
    <row r="11" spans="2:19" ht="18" customHeight="1" x14ac:dyDescent="0.35">
      <c r="B11" s="125"/>
      <c r="C11" s="125"/>
      <c r="D11" s="125"/>
      <c r="E11" s="125"/>
      <c r="F11" s="125"/>
      <c r="G11" s="125"/>
      <c r="H11" s="125"/>
      <c r="I11" s="125"/>
      <c r="J11" s="125"/>
      <c r="K11" s="7"/>
      <c r="L11" s="7"/>
      <c r="M11" s="7"/>
    </row>
    <row r="12" spans="2:19" ht="18" customHeight="1" x14ac:dyDescent="0.35">
      <c r="B12" s="125"/>
      <c r="C12" s="124"/>
      <c r="D12" s="125"/>
      <c r="E12" s="125"/>
      <c r="F12" s="125"/>
      <c r="G12" s="125"/>
      <c r="H12" s="125"/>
      <c r="I12" s="124"/>
      <c r="J12" s="124"/>
      <c r="K12" s="7"/>
    </row>
    <row r="13" spans="2:19" ht="18" customHeight="1" x14ac:dyDescent="0.35">
      <c r="B13" s="125"/>
      <c r="C13" s="125"/>
      <c r="D13" s="125"/>
      <c r="E13" s="125"/>
      <c r="F13" s="125"/>
      <c r="G13" s="125"/>
      <c r="H13" s="125"/>
      <c r="I13" s="124"/>
      <c r="J13" s="125"/>
    </row>
    <row r="14" spans="2:19" ht="18" customHeight="1" x14ac:dyDescent="0.35">
      <c r="B14" s="130" t="s">
        <v>305</v>
      </c>
      <c r="C14" s="125"/>
      <c r="D14" s="125"/>
      <c r="E14" s="125"/>
      <c r="F14" s="125"/>
      <c r="G14" s="125"/>
      <c r="H14" s="125"/>
      <c r="I14" s="125"/>
      <c r="J14" s="125"/>
    </row>
    <row r="15" spans="2:19" ht="18" customHeight="1" x14ac:dyDescent="0.35">
      <c r="B15" s="125" t="s">
        <v>309</v>
      </c>
      <c r="C15" s="124"/>
      <c r="D15" s="124"/>
      <c r="E15" s="124"/>
      <c r="F15" s="124"/>
      <c r="G15" s="124"/>
      <c r="H15" s="124"/>
      <c r="I15" s="125"/>
      <c r="J15" s="125"/>
    </row>
    <row r="16" spans="2:19" ht="18" customHeight="1" x14ac:dyDescent="0.35">
      <c r="B16" s="125" t="s">
        <v>315</v>
      </c>
      <c r="C16" s="125"/>
      <c r="D16" s="125"/>
      <c r="E16" s="125"/>
      <c r="F16" s="125"/>
      <c r="G16" s="125"/>
      <c r="H16" s="125"/>
      <c r="I16" s="125"/>
      <c r="J16" s="125"/>
    </row>
    <row r="17" spans="2:10" ht="18" customHeight="1" x14ac:dyDescent="0.35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8" customHeight="1" x14ac:dyDescent="0.35">
      <c r="B18" s="125"/>
      <c r="C18" s="125"/>
      <c r="D18" s="125"/>
      <c r="E18" s="125"/>
      <c r="F18" s="125"/>
      <c r="G18" s="125"/>
      <c r="H18" s="125"/>
      <c r="I18" s="125"/>
      <c r="J18" s="125"/>
    </row>
    <row r="19" spans="2:10" ht="18" customHeight="1" x14ac:dyDescent="0.35">
      <c r="B19" s="125"/>
      <c r="C19" s="125"/>
      <c r="D19" s="125"/>
      <c r="E19" s="125"/>
      <c r="F19" s="125"/>
      <c r="G19" s="125"/>
      <c r="H19" s="125"/>
      <c r="I19" s="125"/>
      <c r="J19" s="125"/>
    </row>
    <row r="20" spans="2:10" ht="18" customHeight="1" x14ac:dyDescent="0.35">
      <c r="B20" s="124" t="s">
        <v>311</v>
      </c>
      <c r="C20" s="125"/>
      <c r="D20" s="125"/>
      <c r="E20" s="125"/>
      <c r="F20" s="125"/>
      <c r="G20" s="125"/>
      <c r="H20" s="125"/>
      <c r="I20" s="125"/>
      <c r="J20" s="125"/>
    </row>
    <row r="21" spans="2:10" ht="18" customHeight="1" x14ac:dyDescent="0.35">
      <c r="B21" s="125"/>
      <c r="C21" s="124"/>
      <c r="D21" s="124"/>
      <c r="E21" s="124"/>
      <c r="F21" s="124"/>
      <c r="G21" s="124"/>
      <c r="H21" s="124"/>
      <c r="I21" s="124"/>
      <c r="J21" s="124"/>
    </row>
    <row r="22" spans="2:10" ht="18" customHeight="1" x14ac:dyDescent="0.35">
      <c r="B22" s="125"/>
      <c r="C22" s="125"/>
    </row>
    <row r="23" spans="2:10" ht="18" customHeight="1" x14ac:dyDescent="0.35">
      <c r="B23" s="131" t="s">
        <v>308</v>
      </c>
      <c r="C23" s="125"/>
      <c r="D23" s="103"/>
      <c r="E23" s="103"/>
      <c r="F23" s="103"/>
    </row>
    <row r="24" spans="2:10" ht="18" customHeight="1" x14ac:dyDescent="0.35">
      <c r="C24" s="125"/>
      <c r="D24" s="36"/>
      <c r="E24" s="36"/>
    </row>
    <row r="25" spans="2:10" s="29" customFormat="1" ht="18" customHeight="1" x14ac:dyDescent="0.35">
      <c r="B25" s="132"/>
      <c r="C25" s="132"/>
      <c r="D25" s="132"/>
      <c r="E25" s="132"/>
      <c r="F25" s="132"/>
      <c r="G25" s="132"/>
      <c r="H25" s="132"/>
      <c r="I25" s="132"/>
      <c r="J25" s="132"/>
    </row>
    <row r="26" spans="2:10" ht="18" customHeight="1" x14ac:dyDescent="0.25"/>
    <row r="27" spans="2:10" ht="18" customHeight="1" x14ac:dyDescent="0.25"/>
    <row r="28" spans="2:10" ht="18" customHeight="1" x14ac:dyDescent="0.25">
      <c r="B28" s="127"/>
    </row>
    <row r="29" spans="2:10" ht="15" customHeight="1" x14ac:dyDescent="0.25"/>
    <row r="30" spans="2:10" ht="15" customHeight="1" x14ac:dyDescent="0.25"/>
    <row r="31" spans="2:10" ht="15" customHeight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workbookViewId="0"/>
  </sheetViews>
  <sheetFormatPr defaultColWidth="9.140625" defaultRowHeight="12.75" x14ac:dyDescent="0.2"/>
  <cols>
    <col min="1" max="1" width="2.7109375" style="26" customWidth="1"/>
    <col min="2" max="15" width="10.7109375" style="26" customWidth="1"/>
    <col min="16" max="16" width="11.85546875" style="26" customWidth="1"/>
    <col min="17" max="16384" width="9.140625" style="26"/>
  </cols>
  <sheetData>
    <row r="1" spans="1:17" ht="15.75" thickBot="1" x14ac:dyDescent="0.3">
      <c r="G1" s="62"/>
      <c r="H1" s="62"/>
      <c r="I1" s="62"/>
      <c r="J1" s="62"/>
      <c r="K1" s="62"/>
      <c r="L1" s="62"/>
      <c r="M1" s="62"/>
      <c r="N1" s="62"/>
      <c r="O1" s="6"/>
      <c r="P1" s="6"/>
      <c r="Q1" s="6"/>
    </row>
    <row r="2" spans="1:17" s="63" customFormat="1" ht="15" customHeight="1" thickBot="1" x14ac:dyDescent="0.3">
      <c r="B2" s="64" t="s">
        <v>252</v>
      </c>
      <c r="C2" s="64"/>
      <c r="D2" s="65" t="s">
        <v>113</v>
      </c>
      <c r="E2" s="140" t="str">
        <f>Overview!J6</f>
        <v>Gari</v>
      </c>
      <c r="F2" s="141"/>
      <c r="G2" s="66"/>
      <c r="H2" s="66" t="s">
        <v>206</v>
      </c>
      <c r="I2" s="66"/>
      <c r="J2" s="66"/>
      <c r="K2" s="66" t="s">
        <v>122</v>
      </c>
      <c r="L2" s="66"/>
      <c r="M2" s="66"/>
      <c r="N2" s="3">
        <v>50</v>
      </c>
      <c r="O2" s="134"/>
      <c r="P2" s="134"/>
      <c r="Q2" s="134"/>
    </row>
    <row r="4" spans="1:17" x14ac:dyDescent="0.2">
      <c r="A4" s="1"/>
      <c r="B4" s="2"/>
      <c r="C4" s="1"/>
      <c r="D4" s="1"/>
      <c r="E4" s="1"/>
      <c r="F4" s="1"/>
      <c r="G4" s="30" t="s">
        <v>124</v>
      </c>
      <c r="H4" s="30" t="s">
        <v>125</v>
      </c>
      <c r="I4" s="30" t="s">
        <v>126</v>
      </c>
      <c r="J4" s="30" t="s">
        <v>127</v>
      </c>
    </row>
    <row r="5" spans="1:17" x14ac:dyDescent="0.2">
      <c r="A5" s="1"/>
      <c r="B5" s="2"/>
      <c r="C5" s="1"/>
      <c r="D5" s="1"/>
      <c r="E5" s="1"/>
      <c r="F5" s="1"/>
      <c r="G5" s="30" t="s">
        <v>286</v>
      </c>
      <c r="H5" s="30" t="s">
        <v>9</v>
      </c>
      <c r="I5" s="30" t="s">
        <v>286</v>
      </c>
      <c r="J5" s="30" t="s">
        <v>9</v>
      </c>
      <c r="K5" s="24"/>
      <c r="L5" s="24"/>
      <c r="M5" s="24"/>
      <c r="N5" s="24"/>
      <c r="O5" s="24"/>
      <c r="P5" s="24"/>
    </row>
    <row r="6" spans="1:17" x14ac:dyDescent="0.2">
      <c r="A6" s="1"/>
      <c r="B6" s="2"/>
      <c r="C6" s="1"/>
      <c r="D6" s="2" t="s">
        <v>95</v>
      </c>
      <c r="E6" s="2"/>
      <c r="F6" s="2"/>
      <c r="G6" s="30" t="s">
        <v>115</v>
      </c>
      <c r="H6" s="30" t="s">
        <v>115</v>
      </c>
      <c r="I6" s="30" t="s">
        <v>115</v>
      </c>
      <c r="J6" s="30" t="s">
        <v>115</v>
      </c>
    </row>
    <row r="7" spans="1:17" x14ac:dyDescent="0.2">
      <c r="A7" s="1"/>
      <c r="B7" s="1"/>
      <c r="C7" s="1"/>
      <c r="D7" s="2" t="s">
        <v>112</v>
      </c>
      <c r="E7" s="2"/>
      <c r="F7" s="2"/>
      <c r="G7" s="30" t="s">
        <v>123</v>
      </c>
      <c r="H7" s="30" t="s">
        <v>123</v>
      </c>
      <c r="I7" s="30" t="s">
        <v>116</v>
      </c>
      <c r="J7" s="30" t="s">
        <v>116</v>
      </c>
      <c r="K7" s="24"/>
      <c r="L7" s="24"/>
      <c r="M7" s="24"/>
      <c r="N7" s="24"/>
      <c r="O7" s="24"/>
      <c r="P7" s="24"/>
    </row>
    <row r="8" spans="1:17" x14ac:dyDescent="0.2">
      <c r="A8" s="1"/>
      <c r="B8" s="2" t="s">
        <v>12</v>
      </c>
      <c r="C8" s="1"/>
      <c r="D8" s="1"/>
      <c r="E8" s="1"/>
      <c r="F8" s="1"/>
    </row>
    <row r="9" spans="1:17" x14ac:dyDescent="0.2">
      <c r="A9" s="1"/>
      <c r="B9" s="1"/>
      <c r="C9" s="1" t="s">
        <v>117</v>
      </c>
      <c r="D9" s="1"/>
      <c r="E9" s="1"/>
      <c r="F9" s="1"/>
      <c r="G9" s="117">
        <v>2</v>
      </c>
      <c r="H9" s="117">
        <v>2.5</v>
      </c>
      <c r="I9" s="117">
        <v>3.5</v>
      </c>
      <c r="J9" s="117">
        <v>5</v>
      </c>
      <c r="K9" s="108"/>
      <c r="L9" s="108"/>
      <c r="M9" s="108"/>
      <c r="N9" s="108"/>
      <c r="O9" s="108"/>
      <c r="P9" s="108"/>
    </row>
    <row r="10" spans="1:17" x14ac:dyDescent="0.2">
      <c r="A10" s="1"/>
      <c r="B10" s="1"/>
      <c r="C10" s="1" t="s">
        <v>119</v>
      </c>
      <c r="D10" s="1"/>
      <c r="E10" s="1"/>
      <c r="F10" s="1"/>
      <c r="G10" s="117">
        <v>2800</v>
      </c>
      <c r="H10" s="117">
        <f t="shared" ref="H10:J10" si="0">G10</f>
        <v>2800</v>
      </c>
      <c r="I10" s="117">
        <f t="shared" si="0"/>
        <v>2800</v>
      </c>
      <c r="J10" s="117">
        <f t="shared" si="0"/>
        <v>2800</v>
      </c>
      <c r="K10" s="108"/>
      <c r="L10" s="108"/>
      <c r="M10" s="108"/>
      <c r="N10" s="108"/>
      <c r="O10" s="108"/>
      <c r="P10" s="108"/>
    </row>
    <row r="11" spans="1:17" x14ac:dyDescent="0.2">
      <c r="A11" s="1"/>
      <c r="B11" s="1"/>
      <c r="C11" s="1" t="s">
        <v>118</v>
      </c>
      <c r="D11" s="1"/>
      <c r="E11" s="1"/>
      <c r="F11" s="1"/>
      <c r="G11" s="117"/>
      <c r="H11" s="117"/>
      <c r="I11" s="117"/>
      <c r="J11" s="117"/>
      <c r="K11" s="108"/>
      <c r="L11" s="108"/>
      <c r="M11" s="108"/>
      <c r="N11" s="108"/>
      <c r="O11" s="108"/>
      <c r="P11" s="108"/>
    </row>
    <row r="12" spans="1:17" x14ac:dyDescent="0.2">
      <c r="A12" s="1"/>
      <c r="B12" s="1"/>
      <c r="C12" s="1" t="s">
        <v>120</v>
      </c>
      <c r="D12" s="1"/>
      <c r="E12" s="1"/>
      <c r="F12" s="1"/>
      <c r="G12" s="117"/>
      <c r="H12" s="117"/>
      <c r="I12" s="117"/>
      <c r="J12" s="117"/>
      <c r="K12" s="108"/>
      <c r="L12" s="108"/>
      <c r="M12" s="108"/>
      <c r="N12" s="108"/>
      <c r="O12" s="108"/>
      <c r="P12" s="108"/>
    </row>
    <row r="13" spans="1:17" x14ac:dyDescent="0.2">
      <c r="A13" s="1"/>
      <c r="B13" s="1"/>
      <c r="C13" s="2" t="s">
        <v>96</v>
      </c>
      <c r="D13" s="1"/>
      <c r="E13" s="1"/>
      <c r="F13" s="1"/>
      <c r="G13" s="113">
        <f>(G9*G10)+(G11*G12)</f>
        <v>5600</v>
      </c>
      <c r="H13" s="113">
        <f t="shared" ref="H13:J13" si="1">(H9*H10)+(H11*H12)</f>
        <v>7000</v>
      </c>
      <c r="I13" s="113">
        <f t="shared" si="1"/>
        <v>9800</v>
      </c>
      <c r="J13" s="113">
        <f t="shared" si="1"/>
        <v>14000</v>
      </c>
      <c r="K13" s="113"/>
      <c r="L13" s="113"/>
      <c r="M13" s="113"/>
      <c r="N13" s="113"/>
      <c r="O13" s="113"/>
      <c r="P13" s="113"/>
    </row>
    <row r="14" spans="1:17" x14ac:dyDescent="0.2">
      <c r="A14" s="1"/>
      <c r="B14" s="1"/>
      <c r="C14" s="1"/>
      <c r="D14" s="1"/>
      <c r="E14" s="1"/>
      <c r="F14" s="1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7" x14ac:dyDescent="0.2">
      <c r="A15" s="1"/>
      <c r="B15" s="2" t="s">
        <v>97</v>
      </c>
      <c r="C15" s="1"/>
      <c r="D15" s="1"/>
      <c r="E15" s="1"/>
      <c r="F15" s="1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7" x14ac:dyDescent="0.2">
      <c r="A16" s="1"/>
      <c r="B16" s="1"/>
      <c r="C16" s="1" t="s">
        <v>76</v>
      </c>
      <c r="D16" s="1"/>
      <c r="E16" s="1"/>
      <c r="F16" s="1"/>
      <c r="G16" s="117">
        <v>2286</v>
      </c>
      <c r="H16" s="117">
        <v>2400</v>
      </c>
      <c r="I16" s="117">
        <v>4000</v>
      </c>
      <c r="J16" s="117">
        <v>4800</v>
      </c>
      <c r="K16" s="108"/>
      <c r="L16" s="108"/>
      <c r="M16" s="108"/>
      <c r="N16" s="108"/>
      <c r="O16" s="108"/>
      <c r="P16" s="108"/>
    </row>
    <row r="17" spans="1:16" x14ac:dyDescent="0.2">
      <c r="A17" s="1"/>
      <c r="B17" s="1"/>
      <c r="C17" s="1" t="s">
        <v>77</v>
      </c>
      <c r="D17" s="1"/>
      <c r="E17" s="1"/>
      <c r="F17" s="1"/>
      <c r="G17" s="117"/>
      <c r="H17" s="117"/>
      <c r="I17" s="117"/>
      <c r="J17" s="117"/>
      <c r="K17" s="108"/>
      <c r="L17" s="108"/>
      <c r="M17" s="108"/>
      <c r="N17" s="108"/>
      <c r="O17" s="108"/>
      <c r="P17" s="108"/>
    </row>
    <row r="18" spans="1:16" x14ac:dyDescent="0.2">
      <c r="A18" s="1"/>
      <c r="B18" s="1"/>
      <c r="C18" s="1" t="s">
        <v>98</v>
      </c>
      <c r="D18" s="1"/>
      <c r="E18" s="1"/>
      <c r="F18" s="1"/>
      <c r="G18" s="117">
        <v>75</v>
      </c>
      <c r="H18" s="117">
        <v>100</v>
      </c>
      <c r="I18" s="117"/>
      <c r="J18" s="117"/>
      <c r="K18" s="108"/>
      <c r="L18" s="108"/>
      <c r="M18" s="108"/>
      <c r="N18" s="108"/>
      <c r="O18" s="108"/>
      <c r="P18" s="108"/>
    </row>
    <row r="19" spans="1:16" x14ac:dyDescent="0.2">
      <c r="A19" s="1"/>
      <c r="B19" s="1"/>
      <c r="C19" s="1" t="s">
        <v>79</v>
      </c>
      <c r="D19" s="1"/>
      <c r="E19" s="1"/>
      <c r="F19" s="1"/>
      <c r="G19" s="117"/>
      <c r="H19" s="117"/>
      <c r="I19" s="117">
        <v>180</v>
      </c>
      <c r="J19" s="117">
        <v>240</v>
      </c>
      <c r="K19" s="108"/>
      <c r="L19" s="108"/>
      <c r="M19" s="108"/>
      <c r="N19" s="108"/>
      <c r="O19" s="108"/>
      <c r="P19" s="108"/>
    </row>
    <row r="20" spans="1:16" x14ac:dyDescent="0.2">
      <c r="A20" s="1"/>
      <c r="B20" s="1"/>
      <c r="C20" s="1" t="s">
        <v>80</v>
      </c>
      <c r="D20" s="1"/>
      <c r="E20" s="1"/>
      <c r="F20" s="1"/>
      <c r="G20" s="117"/>
      <c r="H20" s="117"/>
      <c r="I20" s="117"/>
      <c r="J20" s="117"/>
      <c r="K20" s="108"/>
      <c r="L20" s="108"/>
      <c r="M20" s="108"/>
      <c r="N20" s="108"/>
      <c r="O20" s="108"/>
      <c r="P20" s="108"/>
    </row>
    <row r="21" spans="1:16" x14ac:dyDescent="0.2">
      <c r="A21" s="1"/>
      <c r="B21" s="1"/>
      <c r="C21" s="1" t="s">
        <v>81</v>
      </c>
      <c r="D21" s="1"/>
      <c r="E21" s="1"/>
      <c r="F21" s="1"/>
      <c r="G21" s="117">
        <v>50</v>
      </c>
      <c r="H21" s="117">
        <v>60</v>
      </c>
      <c r="I21" s="117">
        <v>150</v>
      </c>
      <c r="J21" s="117">
        <v>180</v>
      </c>
      <c r="K21" s="108"/>
      <c r="L21" s="108"/>
      <c r="M21" s="108"/>
      <c r="N21" s="108"/>
      <c r="O21" s="108"/>
      <c r="P21" s="108"/>
    </row>
    <row r="22" spans="1:16" x14ac:dyDescent="0.2">
      <c r="A22" s="1"/>
      <c r="B22" s="1"/>
      <c r="C22" s="1" t="s">
        <v>82</v>
      </c>
      <c r="D22" s="1"/>
      <c r="E22" s="1"/>
      <c r="F22" s="1"/>
      <c r="G22" s="117">
        <v>100</v>
      </c>
      <c r="H22" s="117">
        <v>100</v>
      </c>
      <c r="I22" s="117">
        <v>100</v>
      </c>
      <c r="J22" s="117">
        <v>125</v>
      </c>
      <c r="K22" s="108"/>
      <c r="L22" s="108"/>
      <c r="M22" s="108"/>
      <c r="N22" s="108"/>
      <c r="O22" s="108"/>
      <c r="P22" s="108"/>
    </row>
    <row r="23" spans="1:16" x14ac:dyDescent="0.2">
      <c r="A23" s="1"/>
      <c r="B23" s="1"/>
      <c r="C23" s="1" t="s">
        <v>74</v>
      </c>
      <c r="D23" s="1"/>
      <c r="E23" s="1"/>
      <c r="F23" s="1"/>
      <c r="G23" s="117">
        <v>35</v>
      </c>
      <c r="H23" s="117">
        <v>35</v>
      </c>
      <c r="I23" s="117">
        <v>180</v>
      </c>
      <c r="J23" s="117">
        <v>240</v>
      </c>
      <c r="K23" s="108"/>
      <c r="L23" s="108"/>
      <c r="M23" s="108"/>
      <c r="N23" s="108"/>
      <c r="O23" s="108"/>
      <c r="P23" s="108"/>
    </row>
    <row r="24" spans="1:16" x14ac:dyDescent="0.2">
      <c r="A24" s="1"/>
      <c r="B24" s="1"/>
      <c r="C24" s="1" t="s">
        <v>83</v>
      </c>
      <c r="D24" s="1"/>
      <c r="E24" s="1"/>
      <c r="F24" s="1"/>
      <c r="G24" s="117">
        <v>60</v>
      </c>
      <c r="H24" s="117">
        <v>75</v>
      </c>
      <c r="I24" s="117">
        <v>90</v>
      </c>
      <c r="J24" s="117">
        <v>150</v>
      </c>
      <c r="K24" s="108"/>
      <c r="L24" s="108"/>
      <c r="M24" s="108"/>
      <c r="N24" s="108"/>
      <c r="O24" s="108"/>
      <c r="P24" s="108"/>
    </row>
    <row r="25" spans="1:16" x14ac:dyDescent="0.2">
      <c r="A25" s="1"/>
      <c r="B25" s="1"/>
      <c r="C25" s="1" t="s">
        <v>99</v>
      </c>
      <c r="D25" s="1"/>
      <c r="E25" s="1"/>
      <c r="F25" s="1"/>
      <c r="G25" s="117"/>
      <c r="H25" s="117"/>
      <c r="I25" s="117"/>
      <c r="J25" s="117"/>
      <c r="K25" s="108"/>
      <c r="L25" s="108"/>
      <c r="M25" s="108"/>
      <c r="N25" s="108"/>
      <c r="O25" s="108"/>
      <c r="P25" s="108"/>
    </row>
    <row r="26" spans="1:16" x14ac:dyDescent="0.2">
      <c r="A26" s="1"/>
      <c r="B26" s="1"/>
      <c r="C26" s="1" t="s">
        <v>100</v>
      </c>
      <c r="D26" s="1"/>
      <c r="E26" s="1"/>
      <c r="F26" s="1"/>
      <c r="G26" s="117"/>
      <c r="H26" s="117"/>
      <c r="I26" s="117">
        <v>420</v>
      </c>
      <c r="J26" s="117">
        <v>420</v>
      </c>
      <c r="K26" s="108"/>
      <c r="L26" s="108"/>
      <c r="M26" s="108"/>
      <c r="N26" s="108"/>
      <c r="O26" s="108"/>
      <c r="P26" s="108"/>
    </row>
    <row r="27" spans="1:16" x14ac:dyDescent="0.2">
      <c r="A27" s="1"/>
      <c r="B27" s="1"/>
      <c r="C27" s="1" t="s">
        <v>101</v>
      </c>
      <c r="D27" s="1"/>
      <c r="E27" s="1"/>
      <c r="F27" s="1"/>
      <c r="G27" s="117"/>
      <c r="H27" s="117"/>
      <c r="I27" s="117">
        <v>362</v>
      </c>
      <c r="J27" s="117">
        <v>450</v>
      </c>
      <c r="K27" s="108"/>
      <c r="L27" s="108"/>
      <c r="M27" s="108"/>
      <c r="N27" s="108"/>
      <c r="O27" s="108"/>
      <c r="P27" s="108"/>
    </row>
    <row r="28" spans="1:16" x14ac:dyDescent="0.2">
      <c r="A28" s="1"/>
      <c r="B28" s="2"/>
      <c r="C28" s="2" t="s">
        <v>27</v>
      </c>
      <c r="D28" s="2"/>
      <c r="E28" s="2"/>
      <c r="F28" s="2"/>
      <c r="G28" s="113">
        <f t="shared" ref="G28:J28" si="2">SUM(G16:G27)</f>
        <v>2606</v>
      </c>
      <c r="H28" s="113">
        <f t="shared" si="2"/>
        <v>2770</v>
      </c>
      <c r="I28" s="113">
        <f t="shared" si="2"/>
        <v>5482</v>
      </c>
      <c r="J28" s="113">
        <f t="shared" si="2"/>
        <v>6605</v>
      </c>
      <c r="K28" s="108"/>
      <c r="L28" s="108"/>
      <c r="M28" s="108"/>
      <c r="N28" s="108"/>
      <c r="O28" s="108"/>
      <c r="P28" s="108"/>
    </row>
    <row r="29" spans="1:16" x14ac:dyDescent="0.2">
      <c r="A29" s="1"/>
      <c r="B29" s="2" t="s">
        <v>28</v>
      </c>
      <c r="C29" s="1"/>
      <c r="D29" s="1"/>
      <c r="E29" s="1"/>
      <c r="F29" s="1"/>
      <c r="G29" s="113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x14ac:dyDescent="0.2">
      <c r="A30" s="1"/>
      <c r="B30" s="2"/>
      <c r="C30" s="1" t="s">
        <v>29</v>
      </c>
      <c r="D30" s="1"/>
      <c r="E30" s="1"/>
      <c r="F30" s="1"/>
      <c r="G30" s="117">
        <v>0</v>
      </c>
      <c r="H30" s="117">
        <v>0</v>
      </c>
      <c r="I30" s="117">
        <v>0</v>
      </c>
      <c r="J30" s="117">
        <v>0</v>
      </c>
      <c r="K30" s="108"/>
      <c r="L30" s="108"/>
      <c r="M30" s="108"/>
      <c r="N30" s="108"/>
      <c r="O30" s="108"/>
      <c r="P30" s="108"/>
    </row>
    <row r="31" spans="1:16" x14ac:dyDescent="0.2">
      <c r="A31" s="1"/>
      <c r="B31" s="1"/>
      <c r="C31" s="1" t="s">
        <v>30</v>
      </c>
      <c r="D31" s="1"/>
      <c r="E31" s="1"/>
      <c r="F31" s="1"/>
      <c r="G31" s="117"/>
      <c r="H31" s="117"/>
      <c r="I31" s="117"/>
      <c r="J31" s="117"/>
      <c r="K31" s="113"/>
      <c r="L31" s="113"/>
      <c r="M31" s="113"/>
      <c r="N31" s="113"/>
      <c r="O31" s="113"/>
      <c r="P31" s="113"/>
    </row>
    <row r="32" spans="1:16" x14ac:dyDescent="0.2">
      <c r="A32" s="1"/>
      <c r="B32" s="1"/>
      <c r="C32" s="1"/>
      <c r="D32" s="1" t="s">
        <v>42</v>
      </c>
      <c r="E32" s="1"/>
      <c r="F32" s="1"/>
      <c r="G32" s="117"/>
      <c r="H32" s="117"/>
      <c r="I32" s="117"/>
      <c r="J32" s="117"/>
      <c r="K32" s="108"/>
      <c r="L32" s="108"/>
      <c r="M32" s="108"/>
      <c r="N32" s="108"/>
      <c r="O32" s="108"/>
      <c r="P32" s="108"/>
    </row>
    <row r="33" spans="1:16" x14ac:dyDescent="0.2">
      <c r="A33" s="1"/>
      <c r="B33" s="1"/>
      <c r="C33" s="1"/>
      <c r="D33" s="1" t="s">
        <v>102</v>
      </c>
      <c r="E33" s="1"/>
      <c r="F33" s="1"/>
      <c r="G33" s="117"/>
      <c r="H33" s="117"/>
      <c r="I33" s="117"/>
      <c r="J33" s="117"/>
      <c r="K33" s="108"/>
      <c r="L33" s="108"/>
      <c r="M33" s="108"/>
      <c r="N33" s="108"/>
      <c r="O33" s="108"/>
      <c r="P33" s="108"/>
    </row>
    <row r="34" spans="1:16" x14ac:dyDescent="0.2">
      <c r="A34" s="1"/>
      <c r="B34" s="1"/>
      <c r="C34" s="1"/>
      <c r="D34" s="1" t="s">
        <v>103</v>
      </c>
      <c r="E34" s="1"/>
      <c r="F34" s="1"/>
      <c r="G34" s="117"/>
      <c r="H34" s="117"/>
      <c r="I34" s="117"/>
      <c r="J34" s="117"/>
      <c r="K34" s="108"/>
      <c r="L34" s="108"/>
      <c r="M34" s="108"/>
      <c r="N34" s="108"/>
      <c r="O34" s="108"/>
      <c r="P34" s="108"/>
    </row>
    <row r="35" spans="1:16" x14ac:dyDescent="0.2">
      <c r="A35" s="1"/>
      <c r="B35" s="1"/>
      <c r="C35" s="1"/>
      <c r="D35" s="1" t="s">
        <v>104</v>
      </c>
      <c r="E35" s="1"/>
      <c r="F35" s="1"/>
      <c r="G35" s="117"/>
      <c r="H35" s="117"/>
      <c r="I35" s="117"/>
      <c r="J35" s="117"/>
      <c r="K35" s="108"/>
      <c r="L35" s="108"/>
      <c r="M35" s="108"/>
      <c r="N35" s="108"/>
      <c r="O35" s="108"/>
      <c r="P35" s="108"/>
    </row>
    <row r="36" spans="1:16" x14ac:dyDescent="0.2">
      <c r="A36" s="1"/>
      <c r="B36" s="1"/>
      <c r="C36" s="1"/>
      <c r="D36" s="1" t="s">
        <v>105</v>
      </c>
      <c r="E36" s="1"/>
      <c r="F36" s="1"/>
      <c r="G36" s="117">
        <f>14*14</f>
        <v>196</v>
      </c>
      <c r="H36" s="117">
        <v>210</v>
      </c>
      <c r="I36" s="117">
        <v>360</v>
      </c>
      <c r="J36" s="117">
        <v>450</v>
      </c>
      <c r="K36" s="108"/>
      <c r="L36" s="108"/>
      <c r="M36" s="108"/>
      <c r="N36" s="108"/>
      <c r="O36" s="108"/>
      <c r="P36" s="108"/>
    </row>
    <row r="37" spans="1:16" x14ac:dyDescent="0.2">
      <c r="A37" s="1"/>
      <c r="B37" s="1"/>
      <c r="C37" s="1"/>
      <c r="D37" s="1" t="s">
        <v>106</v>
      </c>
      <c r="E37" s="1"/>
      <c r="F37" s="1"/>
      <c r="G37" s="117"/>
      <c r="H37" s="117"/>
      <c r="I37" s="117"/>
      <c r="J37" s="117"/>
      <c r="K37" s="108"/>
      <c r="L37" s="108"/>
      <c r="M37" s="108"/>
      <c r="N37" s="108"/>
      <c r="O37" s="108"/>
      <c r="P37" s="108"/>
    </row>
    <row r="38" spans="1:16" x14ac:dyDescent="0.2">
      <c r="A38" s="1"/>
      <c r="B38" s="1"/>
      <c r="C38" s="1"/>
      <c r="D38" s="1" t="s">
        <v>107</v>
      </c>
      <c r="E38" s="1"/>
      <c r="F38" s="1"/>
      <c r="G38" s="117"/>
      <c r="H38" s="117"/>
      <c r="I38" s="117">
        <v>300</v>
      </c>
      <c r="J38" s="117">
        <v>410</v>
      </c>
      <c r="K38" s="108"/>
      <c r="L38" s="108"/>
      <c r="M38" s="108"/>
      <c r="N38" s="108"/>
      <c r="O38" s="108"/>
      <c r="P38" s="108"/>
    </row>
    <row r="39" spans="1:16" x14ac:dyDescent="0.2">
      <c r="A39" s="1"/>
      <c r="B39" s="1"/>
      <c r="C39" s="1"/>
      <c r="D39" s="1" t="s">
        <v>108</v>
      </c>
      <c r="E39" s="1"/>
      <c r="F39" s="1"/>
      <c r="G39" s="117">
        <v>360</v>
      </c>
      <c r="H39" s="117">
        <v>400</v>
      </c>
      <c r="I39" s="117">
        <v>450</v>
      </c>
      <c r="J39" s="117">
        <v>600</v>
      </c>
      <c r="K39" s="108"/>
      <c r="L39" s="108"/>
      <c r="M39" s="108"/>
      <c r="N39" s="108"/>
      <c r="O39" s="108"/>
      <c r="P39" s="108"/>
    </row>
    <row r="40" spans="1:16" x14ac:dyDescent="0.2">
      <c r="A40" s="1"/>
      <c r="B40" s="1"/>
      <c r="C40" s="1"/>
      <c r="D40" s="1" t="s">
        <v>109</v>
      </c>
      <c r="E40" s="1"/>
      <c r="F40" s="1"/>
      <c r="G40" s="117">
        <v>120</v>
      </c>
      <c r="H40" s="117">
        <v>120</v>
      </c>
      <c r="I40" s="117">
        <v>120</v>
      </c>
      <c r="J40" s="117">
        <v>180</v>
      </c>
      <c r="K40" s="108"/>
      <c r="L40" s="108"/>
      <c r="M40" s="108"/>
      <c r="N40" s="108"/>
      <c r="O40" s="108"/>
      <c r="P40" s="108"/>
    </row>
    <row r="41" spans="1:16" x14ac:dyDescent="0.2">
      <c r="A41" s="1"/>
      <c r="B41" s="1"/>
      <c r="C41" s="1"/>
      <c r="D41" s="1" t="s">
        <v>110</v>
      </c>
      <c r="E41" s="1"/>
      <c r="F41" s="1"/>
      <c r="G41" s="117">
        <v>20</v>
      </c>
      <c r="H41" s="117">
        <v>30</v>
      </c>
      <c r="I41" s="117">
        <v>60</v>
      </c>
      <c r="J41" s="117">
        <v>96</v>
      </c>
      <c r="K41" s="108"/>
      <c r="L41" s="108"/>
      <c r="M41" s="108"/>
      <c r="N41" s="108"/>
      <c r="O41" s="108"/>
      <c r="P41" s="108"/>
    </row>
    <row r="42" spans="1:16" x14ac:dyDescent="0.2">
      <c r="A42" s="1"/>
      <c r="B42" s="1"/>
      <c r="C42" s="1"/>
      <c r="D42" s="1" t="s">
        <v>111</v>
      </c>
      <c r="E42" s="1"/>
      <c r="F42" s="1"/>
      <c r="G42" s="117"/>
      <c r="H42" s="117"/>
      <c r="I42" s="117"/>
      <c r="J42" s="117"/>
      <c r="K42" s="108"/>
      <c r="L42" s="108"/>
      <c r="M42" s="108"/>
      <c r="N42" s="108"/>
      <c r="O42" s="108"/>
      <c r="P42" s="108"/>
    </row>
    <row r="43" spans="1:16" x14ac:dyDescent="0.2">
      <c r="A43" s="1"/>
      <c r="B43" s="1"/>
      <c r="C43" s="1"/>
      <c r="D43" s="1" t="s">
        <v>44</v>
      </c>
      <c r="E43" s="1"/>
      <c r="F43" s="1"/>
      <c r="G43" s="113">
        <f>SUM(G32:G42)</f>
        <v>696</v>
      </c>
      <c r="H43" s="113">
        <f>SUM(H32:H42)</f>
        <v>760</v>
      </c>
      <c r="I43" s="113">
        <f>SUM(I32:I42)</f>
        <v>1290</v>
      </c>
      <c r="J43" s="113">
        <f>SUM(J32:J42)</f>
        <v>1736</v>
      </c>
      <c r="K43" s="108"/>
      <c r="L43" s="108"/>
      <c r="M43" s="108"/>
      <c r="N43" s="108"/>
      <c r="O43" s="108"/>
      <c r="P43" s="108"/>
    </row>
    <row r="44" spans="1:16" x14ac:dyDescent="0.2">
      <c r="A44" s="1"/>
      <c r="B44" s="1"/>
      <c r="C44" s="1" t="s">
        <v>45</v>
      </c>
      <c r="D44" s="1"/>
      <c r="E44" s="1"/>
      <c r="F44" s="1"/>
      <c r="G44" s="117">
        <v>0</v>
      </c>
      <c r="H44" s="117">
        <v>0</v>
      </c>
      <c r="I44" s="117">
        <v>0</v>
      </c>
      <c r="J44" s="117">
        <v>0</v>
      </c>
      <c r="K44" s="108"/>
      <c r="L44" s="108"/>
      <c r="M44" s="108"/>
      <c r="N44" s="108"/>
      <c r="O44" s="108"/>
      <c r="P44" s="108"/>
    </row>
    <row r="45" spans="1:16" x14ac:dyDescent="0.2">
      <c r="A45" s="1"/>
      <c r="B45" s="1"/>
      <c r="C45" s="1" t="s">
        <v>46</v>
      </c>
      <c r="D45" s="1"/>
      <c r="E45" s="1"/>
      <c r="F45" s="1"/>
      <c r="G45" s="117">
        <v>1</v>
      </c>
      <c r="H45" s="117">
        <v>1</v>
      </c>
      <c r="I45" s="117">
        <v>600</v>
      </c>
      <c r="J45" s="117">
        <v>720</v>
      </c>
      <c r="K45" s="108"/>
      <c r="L45" s="108"/>
      <c r="M45" s="108"/>
      <c r="N45" s="108"/>
      <c r="O45" s="108"/>
      <c r="P45" s="108"/>
    </row>
    <row r="46" spans="1:16" x14ac:dyDescent="0.2">
      <c r="A46" s="1"/>
      <c r="B46" s="1"/>
      <c r="C46" s="1" t="s">
        <v>47</v>
      </c>
      <c r="D46" s="1"/>
      <c r="E46" s="1"/>
      <c r="F46" s="1"/>
      <c r="G46" s="117">
        <v>0</v>
      </c>
      <c r="H46" s="117">
        <v>0</v>
      </c>
      <c r="I46" s="117">
        <v>0</v>
      </c>
      <c r="J46" s="117">
        <v>0</v>
      </c>
      <c r="K46" s="108"/>
      <c r="L46" s="108"/>
      <c r="M46" s="108"/>
      <c r="N46" s="108"/>
      <c r="O46" s="108"/>
      <c r="P46" s="108"/>
    </row>
    <row r="47" spans="1:16" x14ac:dyDescent="0.2">
      <c r="A47" s="1"/>
      <c r="B47" s="2" t="s">
        <v>48</v>
      </c>
      <c r="C47" s="2"/>
      <c r="D47" s="2"/>
      <c r="E47" s="2"/>
      <c r="F47" s="2"/>
      <c r="G47" s="113">
        <f t="shared" ref="G47:J47" si="3">G13-G28-G43-G44-G45-G46</f>
        <v>2297</v>
      </c>
      <c r="H47" s="113">
        <f t="shared" si="3"/>
        <v>3469</v>
      </c>
      <c r="I47" s="113">
        <f t="shared" si="3"/>
        <v>2428</v>
      </c>
      <c r="J47" s="113">
        <f t="shared" si="3"/>
        <v>4939</v>
      </c>
      <c r="K47" s="108"/>
      <c r="L47" s="108"/>
      <c r="M47" s="108"/>
      <c r="N47" s="108"/>
      <c r="O47" s="108"/>
      <c r="P47" s="108"/>
    </row>
    <row r="48" spans="1:16" x14ac:dyDescent="0.2">
      <c r="A48" s="1"/>
      <c r="B48" s="1"/>
      <c r="C48" s="2" t="s">
        <v>49</v>
      </c>
      <c r="D48" s="1"/>
      <c r="E48" s="1"/>
      <c r="F48" s="1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7" x14ac:dyDescent="0.2">
      <c r="A49" s="1"/>
      <c r="B49" s="1"/>
      <c r="C49" s="1"/>
      <c r="D49" s="1" t="s">
        <v>88</v>
      </c>
      <c r="E49" s="1"/>
      <c r="F49" s="1"/>
      <c r="G49" s="117">
        <v>0</v>
      </c>
      <c r="H49" s="117">
        <v>0</v>
      </c>
      <c r="I49" s="117">
        <v>13</v>
      </c>
      <c r="J49" s="117">
        <v>13</v>
      </c>
      <c r="K49" s="108"/>
      <c r="L49" s="108"/>
      <c r="M49" s="108"/>
      <c r="N49" s="108"/>
      <c r="O49" s="108"/>
      <c r="P49" s="108"/>
    </row>
    <row r="50" spans="1:17" x14ac:dyDescent="0.2">
      <c r="A50" s="1"/>
      <c r="B50" s="1"/>
      <c r="C50" s="1"/>
      <c r="D50" s="1" t="s">
        <v>90</v>
      </c>
      <c r="E50" s="1"/>
      <c r="F50" s="1"/>
      <c r="G50" s="117">
        <v>0</v>
      </c>
      <c r="H50" s="117">
        <v>0</v>
      </c>
      <c r="I50" s="117">
        <v>7.5</v>
      </c>
      <c r="J50" s="117">
        <v>7.5</v>
      </c>
      <c r="K50" s="108"/>
      <c r="L50" s="108"/>
      <c r="M50" s="108"/>
      <c r="N50" s="108"/>
      <c r="O50" s="108"/>
      <c r="P50" s="108"/>
    </row>
    <row r="51" spans="1:17" x14ac:dyDescent="0.2">
      <c r="A51" s="1"/>
      <c r="B51" s="1"/>
      <c r="C51" s="1"/>
      <c r="D51" s="1" t="s">
        <v>87</v>
      </c>
      <c r="E51" s="1"/>
      <c r="F51" s="1"/>
      <c r="G51" s="117">
        <v>0</v>
      </c>
      <c r="H51" s="117">
        <v>0</v>
      </c>
      <c r="I51" s="117">
        <v>500</v>
      </c>
      <c r="J51" s="117">
        <v>500</v>
      </c>
      <c r="K51" s="108"/>
      <c r="L51" s="108"/>
      <c r="M51" s="108"/>
      <c r="N51" s="108"/>
      <c r="O51" s="108"/>
      <c r="P51" s="108"/>
    </row>
    <row r="52" spans="1:17" x14ac:dyDescent="0.2">
      <c r="A52" s="1"/>
      <c r="B52" s="1"/>
      <c r="C52" s="1"/>
      <c r="D52" s="1" t="s">
        <v>175</v>
      </c>
      <c r="E52" s="1"/>
      <c r="F52" s="1"/>
      <c r="G52" s="118">
        <v>0</v>
      </c>
      <c r="H52" s="117">
        <v>0</v>
      </c>
      <c r="I52" s="117">
        <v>4</v>
      </c>
      <c r="J52" s="117">
        <v>4</v>
      </c>
      <c r="K52" s="108"/>
      <c r="L52" s="108"/>
      <c r="M52" s="108"/>
      <c r="N52" s="108"/>
      <c r="O52" s="108"/>
      <c r="P52" s="108"/>
    </row>
    <row r="53" spans="1:17" x14ac:dyDescent="0.2">
      <c r="A53" s="1"/>
      <c r="B53" s="1"/>
      <c r="C53" s="1"/>
      <c r="D53" s="1" t="s">
        <v>26</v>
      </c>
      <c r="E53" s="1"/>
      <c r="F53" s="1"/>
      <c r="G53" s="117">
        <v>0</v>
      </c>
      <c r="H53" s="117">
        <v>0</v>
      </c>
      <c r="I53" s="117">
        <v>0</v>
      </c>
      <c r="J53" s="117">
        <v>0</v>
      </c>
      <c r="K53" s="113"/>
      <c r="L53" s="113"/>
      <c r="M53" s="113"/>
      <c r="N53" s="113"/>
      <c r="O53" s="113"/>
      <c r="P53" s="113"/>
    </row>
    <row r="54" spans="1:17" x14ac:dyDescent="0.2">
      <c r="A54" s="1"/>
      <c r="B54" s="1"/>
      <c r="C54" s="1"/>
      <c r="D54" s="2" t="s">
        <v>52</v>
      </c>
      <c r="E54" s="1"/>
      <c r="F54" s="1"/>
      <c r="G54" s="113">
        <f t="shared" ref="G54:J54" si="4">SUM(G49:G53)</f>
        <v>0</v>
      </c>
      <c r="H54" s="113">
        <f t="shared" si="4"/>
        <v>0</v>
      </c>
      <c r="I54" s="113">
        <f t="shared" si="4"/>
        <v>524.5</v>
      </c>
      <c r="J54" s="113">
        <f t="shared" si="4"/>
        <v>524.5</v>
      </c>
      <c r="K54" s="108"/>
      <c r="L54" s="108"/>
      <c r="M54" s="108"/>
      <c r="N54" s="108"/>
      <c r="O54" s="108"/>
      <c r="P54" s="108"/>
    </row>
    <row r="55" spans="1:17" x14ac:dyDescent="0.2">
      <c r="A55" s="1"/>
      <c r="B55" s="2" t="s">
        <v>53</v>
      </c>
      <c r="C55" s="1"/>
      <c r="D55" s="1"/>
      <c r="E55" s="1"/>
      <c r="F55" s="1"/>
      <c r="G55" s="113">
        <f t="shared" ref="G55:J55" si="5">G47-G54</f>
        <v>2297</v>
      </c>
      <c r="H55" s="113">
        <f t="shared" si="5"/>
        <v>3469</v>
      </c>
      <c r="I55" s="113">
        <f t="shared" si="5"/>
        <v>1903.5</v>
      </c>
      <c r="J55" s="113">
        <f t="shared" si="5"/>
        <v>4414.5</v>
      </c>
      <c r="K55" s="108"/>
      <c r="L55" s="108"/>
      <c r="M55" s="108"/>
      <c r="N55" s="108"/>
      <c r="O55" s="108"/>
      <c r="P55" s="108"/>
    </row>
    <row r="56" spans="1:17" s="76" customFormat="1" x14ac:dyDescent="0.2"/>
    <row r="57" spans="1:17" x14ac:dyDescent="0.2">
      <c r="B57" s="69" t="str">
        <f>B2</f>
        <v>Processing</v>
      </c>
      <c r="C57" s="69"/>
      <c r="D57" s="69" t="str">
        <f>D2</f>
        <v xml:space="preserve">Product: </v>
      </c>
      <c r="E57" s="69" t="str">
        <f>E2</f>
        <v>Gari</v>
      </c>
      <c r="G57" s="69" t="s">
        <v>177</v>
      </c>
      <c r="H57" s="70"/>
      <c r="I57" s="70"/>
      <c r="J57" s="70"/>
      <c r="K57" s="70"/>
      <c r="L57" s="70"/>
      <c r="M57" s="70"/>
      <c r="N57" s="70"/>
    </row>
    <row r="59" spans="1:17" ht="15" x14ac:dyDescent="0.25">
      <c r="B59" s="77" t="str">
        <f>G4</f>
        <v>Option 1</v>
      </c>
      <c r="C59" s="78" t="str">
        <f>G5</f>
        <v>Current</v>
      </c>
      <c r="D59" s="78" t="str">
        <f>G6</f>
        <v>facility</v>
      </c>
      <c r="E59" s="79" t="str">
        <f>G7</f>
        <v>Small-scale</v>
      </c>
      <c r="F59" s="25" t="s">
        <v>176</v>
      </c>
      <c r="H59" s="60" t="s">
        <v>64</v>
      </c>
      <c r="I59" s="60" t="s">
        <v>64</v>
      </c>
      <c r="J59" s="60"/>
      <c r="K59" s="60"/>
      <c r="L59" s="60"/>
      <c r="M59" s="60"/>
      <c r="N59" s="60"/>
      <c r="O59" s="60"/>
    </row>
    <row r="60" spans="1:17" ht="15" x14ac:dyDescent="0.25">
      <c r="B60" s="25" t="s">
        <v>97</v>
      </c>
      <c r="G60" s="26" t="s">
        <v>133</v>
      </c>
      <c r="H60" s="60" t="s">
        <v>65</v>
      </c>
      <c r="I60" s="60" t="s">
        <v>66</v>
      </c>
      <c r="J60" s="61" t="s">
        <v>67</v>
      </c>
      <c r="K60" s="61" t="s">
        <v>68</v>
      </c>
      <c r="L60" s="61" t="s">
        <v>45</v>
      </c>
      <c r="M60" s="61" t="s">
        <v>69</v>
      </c>
      <c r="N60" s="61" t="s">
        <v>47</v>
      </c>
      <c r="O60" s="61" t="s">
        <v>70</v>
      </c>
    </row>
    <row r="61" spans="1:17" x14ac:dyDescent="0.2">
      <c r="C61" s="26" t="s">
        <v>76</v>
      </c>
      <c r="G61" s="108"/>
      <c r="H61" s="109"/>
      <c r="I61" s="109"/>
      <c r="J61" s="110" t="s">
        <v>178</v>
      </c>
      <c r="K61" s="109"/>
      <c r="L61" s="109"/>
      <c r="M61" s="109"/>
      <c r="N61" s="109"/>
      <c r="O61" s="109"/>
      <c r="Q61" s="25"/>
    </row>
    <row r="62" spans="1:17" x14ac:dyDescent="0.2">
      <c r="C62" s="26" t="s">
        <v>77</v>
      </c>
      <c r="G62" s="108">
        <f t="shared" ref="G62:G72" si="6">G17*$N$2</f>
        <v>0</v>
      </c>
      <c r="H62" s="109">
        <f>$G62*'Break-down of IGS and Deprec'!F59</f>
        <v>0</v>
      </c>
      <c r="I62" s="109">
        <f>$G62*'Break-down of IGS and Deprec'!G59</f>
        <v>0</v>
      </c>
      <c r="J62" s="109">
        <f>$G62*'Break-down of IGS and Deprec'!H59</f>
        <v>0</v>
      </c>
      <c r="K62" s="109">
        <f>$G62*'Break-down of IGS and Deprec'!I59</f>
        <v>0</v>
      </c>
      <c r="L62" s="109">
        <f>$G62*'Break-down of IGS and Deprec'!J59</f>
        <v>0</v>
      </c>
      <c r="M62" s="109">
        <f>$G62*'Break-down of IGS and Deprec'!K59</f>
        <v>0</v>
      </c>
      <c r="N62" s="109">
        <f>$G62*'Break-down of IGS and Deprec'!L59</f>
        <v>0</v>
      </c>
      <c r="O62" s="109">
        <f>$G62*'Break-down of IGS and Deprec'!M59</f>
        <v>0</v>
      </c>
      <c r="P62" s="72"/>
    </row>
    <row r="63" spans="1:17" x14ac:dyDescent="0.2">
      <c r="C63" s="26" t="s">
        <v>98</v>
      </c>
      <c r="G63" s="108">
        <f t="shared" si="6"/>
        <v>3750</v>
      </c>
      <c r="H63" s="109">
        <f>$G63*'Break-down of IGS and Deprec'!F60</f>
        <v>1312.5</v>
      </c>
      <c r="I63" s="109">
        <f>$G63*'Break-down of IGS and Deprec'!G60</f>
        <v>562.5</v>
      </c>
      <c r="J63" s="109">
        <f>$G63*'Break-down of IGS and Deprec'!H60</f>
        <v>0</v>
      </c>
      <c r="K63" s="109">
        <f>$G63*'Break-down of IGS and Deprec'!I60</f>
        <v>750</v>
      </c>
      <c r="L63" s="109">
        <f>$G63*'Break-down of IGS and Deprec'!J60</f>
        <v>0</v>
      </c>
      <c r="M63" s="109">
        <f>$G63*'Break-down of IGS and Deprec'!K60</f>
        <v>0</v>
      </c>
      <c r="N63" s="109">
        <f>$G63*'Break-down of IGS and Deprec'!L60</f>
        <v>0</v>
      </c>
      <c r="O63" s="109">
        <f>$G63*'Break-down of IGS and Deprec'!M60</f>
        <v>1125</v>
      </c>
      <c r="P63" s="72"/>
    </row>
    <row r="64" spans="1:17" x14ac:dyDescent="0.2">
      <c r="C64" s="26" t="s">
        <v>79</v>
      </c>
      <c r="G64" s="108">
        <f t="shared" si="6"/>
        <v>0</v>
      </c>
      <c r="H64" s="109">
        <f>$G64*'Break-down of IGS and Deprec'!F61</f>
        <v>0</v>
      </c>
      <c r="I64" s="109">
        <f>$G64*'Break-down of IGS and Deprec'!G61</f>
        <v>0</v>
      </c>
      <c r="J64" s="109">
        <f>$G64*'Break-down of IGS and Deprec'!H61</f>
        <v>0</v>
      </c>
      <c r="K64" s="109">
        <f>$G64*'Break-down of IGS and Deprec'!I61</f>
        <v>0</v>
      </c>
      <c r="L64" s="109">
        <f>$G64*'Break-down of IGS and Deprec'!J61</f>
        <v>0</v>
      </c>
      <c r="M64" s="109">
        <f>$G64*'Break-down of IGS and Deprec'!K61</f>
        <v>0</v>
      </c>
      <c r="N64" s="109">
        <f>$G64*'Break-down of IGS and Deprec'!L61</f>
        <v>0</v>
      </c>
      <c r="O64" s="109">
        <f>$G64*'Break-down of IGS and Deprec'!M61</f>
        <v>0</v>
      </c>
      <c r="P64" s="72"/>
    </row>
    <row r="65" spans="2:16" x14ac:dyDescent="0.2">
      <c r="C65" s="26" t="s">
        <v>80</v>
      </c>
      <c r="G65" s="108">
        <f t="shared" si="6"/>
        <v>0</v>
      </c>
      <c r="H65" s="109">
        <f>$G65*'Break-down of IGS and Deprec'!F62</f>
        <v>0</v>
      </c>
      <c r="I65" s="109">
        <f>$G65*'Break-down of IGS and Deprec'!G62</f>
        <v>0</v>
      </c>
      <c r="J65" s="109">
        <f>$G65*'Break-down of IGS and Deprec'!H62</f>
        <v>0</v>
      </c>
      <c r="K65" s="109">
        <f>$G65*'Break-down of IGS and Deprec'!I62</f>
        <v>0</v>
      </c>
      <c r="L65" s="109">
        <f>$G65*'Break-down of IGS and Deprec'!J62</f>
        <v>0</v>
      </c>
      <c r="M65" s="109">
        <f>$G65*'Break-down of IGS and Deprec'!K62</f>
        <v>0</v>
      </c>
      <c r="N65" s="109">
        <f>$G65*'Break-down of IGS and Deprec'!L62</f>
        <v>0</v>
      </c>
      <c r="O65" s="109">
        <f>$G65*'Break-down of IGS and Deprec'!M62</f>
        <v>0</v>
      </c>
      <c r="P65" s="72"/>
    </row>
    <row r="66" spans="2:16" x14ac:dyDescent="0.2">
      <c r="C66" s="26" t="s">
        <v>81</v>
      </c>
      <c r="G66" s="108">
        <f t="shared" si="6"/>
        <v>2500</v>
      </c>
      <c r="H66" s="109">
        <f>$G66*'Break-down of IGS and Deprec'!F63</f>
        <v>250</v>
      </c>
      <c r="I66" s="109">
        <f>$G66*'Break-down of IGS and Deprec'!G63</f>
        <v>500</v>
      </c>
      <c r="J66" s="109">
        <f>$G66*'Break-down of IGS and Deprec'!H63</f>
        <v>0</v>
      </c>
      <c r="K66" s="109">
        <f>$G66*'Break-down of IGS and Deprec'!I63</f>
        <v>375</v>
      </c>
      <c r="L66" s="109">
        <f>$G66*'Break-down of IGS and Deprec'!J63</f>
        <v>250</v>
      </c>
      <c r="M66" s="109">
        <f>$G66*'Break-down of IGS and Deprec'!K63</f>
        <v>625</v>
      </c>
      <c r="N66" s="109">
        <f>$G66*'Break-down of IGS and Deprec'!L63</f>
        <v>0</v>
      </c>
      <c r="O66" s="109">
        <f>$G66*'Break-down of IGS and Deprec'!M63</f>
        <v>500</v>
      </c>
      <c r="P66" s="72"/>
    </row>
    <row r="67" spans="2:16" x14ac:dyDescent="0.2">
      <c r="C67" s="26" t="s">
        <v>82</v>
      </c>
      <c r="G67" s="108">
        <f t="shared" si="6"/>
        <v>5000</v>
      </c>
      <c r="H67" s="109">
        <f>$G67*'Break-down of IGS and Deprec'!F64</f>
        <v>1000</v>
      </c>
      <c r="I67" s="109">
        <f>$G67*'Break-down of IGS and Deprec'!G64</f>
        <v>0</v>
      </c>
      <c r="J67" s="109">
        <f>$G67*'Break-down of IGS and Deprec'!H64</f>
        <v>0</v>
      </c>
      <c r="K67" s="109">
        <f>$G67*'Break-down of IGS and Deprec'!I64</f>
        <v>2400</v>
      </c>
      <c r="L67" s="109">
        <f>$G67*'Break-down of IGS and Deprec'!J64</f>
        <v>0</v>
      </c>
      <c r="M67" s="109">
        <f>$G67*'Break-down of IGS and Deprec'!K64</f>
        <v>250</v>
      </c>
      <c r="N67" s="109">
        <f>$G67*'Break-down of IGS and Deprec'!L64</f>
        <v>0</v>
      </c>
      <c r="O67" s="109">
        <f>$G67*'Break-down of IGS and Deprec'!M64</f>
        <v>1350</v>
      </c>
      <c r="P67" s="72"/>
    </row>
    <row r="68" spans="2:16" x14ac:dyDescent="0.2">
      <c r="C68" s="26" t="s">
        <v>74</v>
      </c>
      <c r="G68" s="108">
        <f t="shared" si="6"/>
        <v>1750</v>
      </c>
      <c r="H68" s="109">
        <f>$G68*'Break-down of IGS and Deprec'!F66</f>
        <v>350</v>
      </c>
      <c r="I68" s="109">
        <f>$G68*'Break-down of IGS and Deprec'!G66</f>
        <v>0</v>
      </c>
      <c r="J68" s="109">
        <f>$G68*'Break-down of IGS and Deprec'!H66</f>
        <v>0</v>
      </c>
      <c r="K68" s="109">
        <f>$G68*'Break-down of IGS and Deprec'!I66</f>
        <v>840</v>
      </c>
      <c r="L68" s="109">
        <f>$G68*'Break-down of IGS and Deprec'!J66</f>
        <v>0</v>
      </c>
      <c r="M68" s="109">
        <f>$G68*'Break-down of IGS and Deprec'!K66</f>
        <v>87.5</v>
      </c>
      <c r="N68" s="109">
        <f>$G68*'Break-down of IGS and Deprec'!L66</f>
        <v>0</v>
      </c>
      <c r="O68" s="109">
        <f>$G68*'Break-down of IGS and Deprec'!M66</f>
        <v>472.50000000000006</v>
      </c>
      <c r="P68" s="72"/>
    </row>
    <row r="69" spans="2:16" x14ac:dyDescent="0.2">
      <c r="C69" s="26" t="s">
        <v>83</v>
      </c>
      <c r="G69" s="108">
        <f t="shared" si="6"/>
        <v>3000</v>
      </c>
      <c r="H69" s="109">
        <f>$G69*'Break-down of IGS and Deprec'!F65</f>
        <v>300</v>
      </c>
      <c r="I69" s="109">
        <f>$G69*'Break-down of IGS and Deprec'!G65</f>
        <v>600</v>
      </c>
      <c r="J69" s="109">
        <f>$G69*'Break-down of IGS and Deprec'!H65</f>
        <v>0</v>
      </c>
      <c r="K69" s="109">
        <f>$G69*'Break-down of IGS and Deprec'!I65</f>
        <v>450</v>
      </c>
      <c r="L69" s="109">
        <f>$G69*'Break-down of IGS and Deprec'!J65</f>
        <v>300</v>
      </c>
      <c r="M69" s="109">
        <f>$G69*'Break-down of IGS and Deprec'!K65</f>
        <v>750</v>
      </c>
      <c r="N69" s="109">
        <f>$G69*'Break-down of IGS and Deprec'!L65</f>
        <v>0</v>
      </c>
      <c r="O69" s="109">
        <f>$G69*'Break-down of IGS and Deprec'!M65</f>
        <v>600</v>
      </c>
      <c r="P69" s="72"/>
    </row>
    <row r="70" spans="2:16" x14ac:dyDescent="0.2">
      <c r="C70" s="26" t="s">
        <v>99</v>
      </c>
      <c r="G70" s="108">
        <f t="shared" si="6"/>
        <v>0</v>
      </c>
      <c r="H70" s="109">
        <f>$G70*'Break-down of IGS and Deprec'!F67</f>
        <v>0</v>
      </c>
      <c r="I70" s="109">
        <f>$G70*'Break-down of IGS and Deprec'!G67</f>
        <v>0</v>
      </c>
      <c r="J70" s="109">
        <f>$G70*'Break-down of IGS and Deprec'!H67</f>
        <v>0</v>
      </c>
      <c r="K70" s="109">
        <f>$G70*'Break-down of IGS and Deprec'!I67</f>
        <v>0</v>
      </c>
      <c r="L70" s="109">
        <f>$G70*'Break-down of IGS and Deprec'!J67</f>
        <v>0</v>
      </c>
      <c r="M70" s="109">
        <f>$G70*'Break-down of IGS and Deprec'!K67</f>
        <v>0</v>
      </c>
      <c r="N70" s="109">
        <f>$G70*'Break-down of IGS and Deprec'!L67</f>
        <v>0</v>
      </c>
      <c r="O70" s="109">
        <f>$G70*'Break-down of IGS and Deprec'!M67</f>
        <v>0</v>
      </c>
      <c r="P70" s="72"/>
    </row>
    <row r="71" spans="2:16" x14ac:dyDescent="0.2">
      <c r="C71" s="26" t="s">
        <v>100</v>
      </c>
      <c r="G71" s="108">
        <f t="shared" si="6"/>
        <v>0</v>
      </c>
      <c r="H71" s="109">
        <f>$G71*'Break-down of IGS and Deprec'!F68</f>
        <v>0</v>
      </c>
      <c r="I71" s="109">
        <f>$G71*'Break-down of IGS and Deprec'!G68</f>
        <v>0</v>
      </c>
      <c r="J71" s="109">
        <f>$G71*'Break-down of IGS and Deprec'!H68</f>
        <v>0</v>
      </c>
      <c r="K71" s="109">
        <f>$G71*'Break-down of IGS and Deprec'!I68</f>
        <v>0</v>
      </c>
      <c r="L71" s="109">
        <f>$G71*'Break-down of IGS and Deprec'!J68</f>
        <v>0</v>
      </c>
      <c r="M71" s="109">
        <f>$G71*'Break-down of IGS and Deprec'!K68</f>
        <v>0</v>
      </c>
      <c r="N71" s="109">
        <f>$G71*'Break-down of IGS and Deprec'!L68</f>
        <v>0</v>
      </c>
      <c r="O71" s="109">
        <f>$G71*'Break-down of IGS and Deprec'!M68</f>
        <v>0</v>
      </c>
      <c r="P71" s="72"/>
    </row>
    <row r="72" spans="2:16" x14ac:dyDescent="0.2">
      <c r="C72" s="26" t="s">
        <v>101</v>
      </c>
      <c r="G72" s="108">
        <f t="shared" si="6"/>
        <v>0</v>
      </c>
      <c r="H72" s="109">
        <f>$G72*'Break-down of IGS and Deprec'!F69</f>
        <v>0</v>
      </c>
      <c r="I72" s="109">
        <f>$G72*'Break-down of IGS and Deprec'!G69</f>
        <v>0</v>
      </c>
      <c r="J72" s="109">
        <f>$G72*'Break-down of IGS and Deprec'!H69</f>
        <v>0</v>
      </c>
      <c r="K72" s="109">
        <f>$G72*'Break-down of IGS and Deprec'!I69</f>
        <v>0</v>
      </c>
      <c r="L72" s="109">
        <f>$G72*'Break-down of IGS and Deprec'!J69</f>
        <v>0</v>
      </c>
      <c r="M72" s="109">
        <f>$G72*'Break-down of IGS and Deprec'!K69</f>
        <v>0</v>
      </c>
      <c r="N72" s="109">
        <f>$G72*'Break-down of IGS and Deprec'!L69</f>
        <v>0</v>
      </c>
      <c r="O72" s="109">
        <f>$G72*'Break-down of IGS and Deprec'!M69</f>
        <v>0</v>
      </c>
      <c r="P72" s="72"/>
    </row>
    <row r="73" spans="2:16" x14ac:dyDescent="0.2">
      <c r="B73" s="25"/>
      <c r="C73" s="25" t="s">
        <v>27</v>
      </c>
      <c r="D73" s="25"/>
      <c r="E73" s="25"/>
      <c r="F73" s="25"/>
      <c r="G73" s="108">
        <f>SUM(G61:G72)</f>
        <v>16000</v>
      </c>
      <c r="H73" s="108">
        <f t="shared" ref="H73:O73" si="7">SUM(H61:H72)</f>
        <v>3212.5</v>
      </c>
      <c r="I73" s="108">
        <f t="shared" si="7"/>
        <v>1662.5</v>
      </c>
      <c r="J73" s="108">
        <f t="shared" si="7"/>
        <v>0</v>
      </c>
      <c r="K73" s="108">
        <f t="shared" si="7"/>
        <v>4815</v>
      </c>
      <c r="L73" s="108">
        <f t="shared" si="7"/>
        <v>550</v>
      </c>
      <c r="M73" s="108">
        <f t="shared" si="7"/>
        <v>1712.5</v>
      </c>
      <c r="N73" s="108">
        <f t="shared" si="7"/>
        <v>0</v>
      </c>
      <c r="O73" s="108">
        <f t="shared" si="7"/>
        <v>4047.5</v>
      </c>
      <c r="P73" s="72"/>
    </row>
    <row r="74" spans="2:16" x14ac:dyDescent="0.2">
      <c r="B74" s="25" t="s">
        <v>49</v>
      </c>
      <c r="F74" s="25"/>
      <c r="G74" s="109"/>
      <c r="H74" s="109"/>
      <c r="I74" s="109"/>
      <c r="J74" s="109"/>
      <c r="K74" s="109"/>
      <c r="L74" s="109"/>
      <c r="M74" s="109"/>
      <c r="N74" s="109"/>
      <c r="O74" s="109"/>
      <c r="P74" s="72"/>
    </row>
    <row r="75" spans="2:16" x14ac:dyDescent="0.2">
      <c r="C75" s="26" t="s">
        <v>88</v>
      </c>
      <c r="F75" s="25"/>
      <c r="G75" s="108">
        <f>G49*$N$2</f>
        <v>0</v>
      </c>
      <c r="H75" s="109">
        <f>$G75*'Break-down of IGS and Deprec'!H86</f>
        <v>0</v>
      </c>
      <c r="I75" s="109">
        <f>$G75*'Break-down of IGS and Deprec'!I86</f>
        <v>0</v>
      </c>
      <c r="J75" s="109">
        <f>$G75*'Break-down of IGS and Deprec'!J86</f>
        <v>0</v>
      </c>
      <c r="K75" s="109">
        <f>$G75*'Break-down of IGS and Deprec'!K86</f>
        <v>0</v>
      </c>
      <c r="L75" s="109">
        <f>$G75*'Break-down of IGS and Deprec'!L86</f>
        <v>0</v>
      </c>
      <c r="M75" s="109">
        <f>$G75*'Break-down of IGS and Deprec'!M86</f>
        <v>0</v>
      </c>
      <c r="N75" s="109">
        <f>$G75*'Break-down of IGS and Deprec'!N86</f>
        <v>0</v>
      </c>
      <c r="O75" s="109">
        <f>$G75*'Break-down of IGS and Deprec'!O86</f>
        <v>0</v>
      </c>
      <c r="P75" s="72"/>
    </row>
    <row r="76" spans="2:16" x14ac:dyDescent="0.2">
      <c r="C76" s="26" t="s">
        <v>90</v>
      </c>
      <c r="F76" s="25"/>
      <c r="G76" s="109">
        <f t="shared" ref="G76:G79" si="8">G50*$N$2</f>
        <v>0</v>
      </c>
      <c r="H76" s="109">
        <f>$G76*'Break-down of IGS and Deprec'!H88</f>
        <v>0</v>
      </c>
      <c r="I76" s="109">
        <f>$G76*'Break-down of IGS and Deprec'!I88</f>
        <v>0</v>
      </c>
      <c r="J76" s="109">
        <f>$G76*'Break-down of IGS and Deprec'!J88</f>
        <v>0</v>
      </c>
      <c r="K76" s="109">
        <f>$G76*'Break-down of IGS and Deprec'!K88</f>
        <v>0</v>
      </c>
      <c r="L76" s="109">
        <f>$G76*'Break-down of IGS and Deprec'!L88</f>
        <v>0</v>
      </c>
      <c r="M76" s="109">
        <f>$G76*'Break-down of IGS and Deprec'!M88</f>
        <v>0</v>
      </c>
      <c r="N76" s="109">
        <f>$G76*'Break-down of IGS and Deprec'!N88</f>
        <v>0</v>
      </c>
      <c r="O76" s="109">
        <f>$G76*'Break-down of IGS and Deprec'!O88</f>
        <v>0</v>
      </c>
      <c r="P76" s="72"/>
    </row>
    <row r="77" spans="2:16" x14ac:dyDescent="0.2">
      <c r="C77" s="26" t="s">
        <v>87</v>
      </c>
      <c r="F77" s="25"/>
      <c r="G77" s="109">
        <f t="shared" si="8"/>
        <v>0</v>
      </c>
      <c r="H77" s="109">
        <f>$G77*'Break-down of IGS and Deprec'!H85</f>
        <v>0</v>
      </c>
      <c r="I77" s="109">
        <f>$G77*'Break-down of IGS and Deprec'!I85</f>
        <v>0</v>
      </c>
      <c r="J77" s="109">
        <f>$G77*'Break-down of IGS and Deprec'!J85</f>
        <v>0</v>
      </c>
      <c r="K77" s="109">
        <f>$G77*'Break-down of IGS and Deprec'!K85</f>
        <v>0</v>
      </c>
      <c r="L77" s="109">
        <f>$G77*'Break-down of IGS and Deprec'!L85</f>
        <v>0</v>
      </c>
      <c r="M77" s="109">
        <f>$G77*'Break-down of IGS and Deprec'!M85</f>
        <v>0</v>
      </c>
      <c r="N77" s="109">
        <f>$G77*'Break-down of IGS and Deprec'!N85</f>
        <v>0</v>
      </c>
      <c r="O77" s="109">
        <f>$G77*'Break-down of IGS and Deprec'!O85</f>
        <v>0</v>
      </c>
      <c r="P77" s="72"/>
    </row>
    <row r="78" spans="2:16" x14ac:dyDescent="0.2">
      <c r="C78" s="26" t="s">
        <v>175</v>
      </c>
      <c r="F78" s="25"/>
      <c r="G78" s="109">
        <f t="shared" si="8"/>
        <v>0</v>
      </c>
      <c r="H78" s="109">
        <f>$G78*'Break-down of IGS and Deprec'!H89</f>
        <v>0</v>
      </c>
      <c r="I78" s="109">
        <f>$G78*'Break-down of IGS and Deprec'!I89</f>
        <v>0</v>
      </c>
      <c r="J78" s="109">
        <f>$G78*'Break-down of IGS and Deprec'!J89</f>
        <v>0</v>
      </c>
      <c r="K78" s="109">
        <f>$G78*'Break-down of IGS and Deprec'!K89</f>
        <v>0</v>
      </c>
      <c r="L78" s="109">
        <f>$G78*'Break-down of IGS and Deprec'!L89</f>
        <v>0</v>
      </c>
      <c r="M78" s="109">
        <f>$G78*'Break-down of IGS and Deprec'!M89</f>
        <v>0</v>
      </c>
      <c r="N78" s="109">
        <f>$G78*'Break-down of IGS and Deprec'!N89</f>
        <v>0</v>
      </c>
      <c r="O78" s="109">
        <f>$G78*'Break-down of IGS and Deprec'!O89</f>
        <v>0</v>
      </c>
      <c r="P78" s="72"/>
    </row>
    <row r="79" spans="2:16" x14ac:dyDescent="0.2">
      <c r="C79" s="26" t="s">
        <v>26</v>
      </c>
      <c r="F79" s="25"/>
      <c r="G79" s="109">
        <f t="shared" si="8"/>
        <v>0</v>
      </c>
      <c r="H79" s="109"/>
      <c r="I79" s="109"/>
      <c r="J79" s="109"/>
      <c r="K79" s="109"/>
      <c r="L79" s="109"/>
      <c r="M79" s="109"/>
      <c r="N79" s="109"/>
      <c r="O79" s="109"/>
      <c r="P79" s="72"/>
    </row>
    <row r="80" spans="2:16" x14ac:dyDescent="0.2">
      <c r="C80" s="25" t="s">
        <v>52</v>
      </c>
      <c r="F80" s="25"/>
      <c r="G80" s="108">
        <f>SUM(G75:G79)</f>
        <v>0</v>
      </c>
      <c r="H80" s="108">
        <f t="shared" ref="H80:O80" si="9">SUM(H75:H79)</f>
        <v>0</v>
      </c>
      <c r="I80" s="108">
        <f t="shared" si="9"/>
        <v>0</v>
      </c>
      <c r="J80" s="108">
        <f t="shared" si="9"/>
        <v>0</v>
      </c>
      <c r="K80" s="108">
        <f t="shared" si="9"/>
        <v>0</v>
      </c>
      <c r="L80" s="108">
        <f t="shared" si="9"/>
        <v>0</v>
      </c>
      <c r="M80" s="108">
        <f t="shared" si="9"/>
        <v>0</v>
      </c>
      <c r="N80" s="108">
        <f t="shared" si="9"/>
        <v>0</v>
      </c>
      <c r="O80" s="108">
        <f t="shared" si="9"/>
        <v>0</v>
      </c>
      <c r="P80" s="72"/>
    </row>
    <row r="81" spans="2:17" ht="15" x14ac:dyDescent="0.25">
      <c r="B81" s="25"/>
      <c r="C81" s="25"/>
      <c r="D81" s="25"/>
      <c r="G81" s="109"/>
      <c r="H81" s="111" t="s">
        <v>64</v>
      </c>
      <c r="I81" s="111" t="s">
        <v>64</v>
      </c>
      <c r="J81" s="111"/>
      <c r="K81" s="111"/>
      <c r="L81" s="111"/>
      <c r="M81" s="111"/>
      <c r="N81" s="111"/>
      <c r="O81" s="111"/>
      <c r="P81" s="72"/>
    </row>
    <row r="82" spans="2:17" ht="15" x14ac:dyDescent="0.25">
      <c r="G82" s="109"/>
      <c r="H82" s="111" t="s">
        <v>65</v>
      </c>
      <c r="I82" s="111" t="s">
        <v>66</v>
      </c>
      <c r="J82" s="112" t="s">
        <v>67</v>
      </c>
      <c r="K82" s="112" t="s">
        <v>68</v>
      </c>
      <c r="L82" s="112" t="s">
        <v>45</v>
      </c>
      <c r="M82" s="112" t="s">
        <v>69</v>
      </c>
      <c r="N82" s="112" t="s">
        <v>47</v>
      </c>
      <c r="O82" s="112" t="s">
        <v>70</v>
      </c>
      <c r="P82" s="72"/>
    </row>
    <row r="83" spans="2:17" x14ac:dyDescent="0.2">
      <c r="B83" s="25" t="s">
        <v>291</v>
      </c>
      <c r="C83" s="25"/>
      <c r="D83" s="25"/>
      <c r="E83" s="25"/>
      <c r="F83" s="25"/>
      <c r="G83" s="109" t="s">
        <v>179</v>
      </c>
      <c r="H83" s="113">
        <f t="shared" ref="H83:O83" si="10">H73+H80</f>
        <v>3212.5</v>
      </c>
      <c r="I83" s="113">
        <f t="shared" si="10"/>
        <v>1662.5</v>
      </c>
      <c r="J83" s="113">
        <f t="shared" si="10"/>
        <v>0</v>
      </c>
      <c r="K83" s="113">
        <f t="shared" si="10"/>
        <v>4815</v>
      </c>
      <c r="L83" s="113">
        <f t="shared" si="10"/>
        <v>550</v>
      </c>
      <c r="M83" s="113">
        <f t="shared" si="10"/>
        <v>1712.5</v>
      </c>
      <c r="N83" s="113">
        <f t="shared" si="10"/>
        <v>0</v>
      </c>
      <c r="O83" s="113">
        <f t="shared" si="10"/>
        <v>4047.5</v>
      </c>
      <c r="P83" s="72"/>
    </row>
    <row r="84" spans="2:17" x14ac:dyDescent="0.2">
      <c r="B84" s="25"/>
      <c r="C84" s="25"/>
      <c r="D84" s="25"/>
      <c r="E84" s="25"/>
      <c r="F84" s="25"/>
      <c r="G84" s="109"/>
      <c r="H84" s="110"/>
      <c r="I84" s="110"/>
      <c r="J84" s="110"/>
      <c r="K84" s="110"/>
      <c r="L84" s="110"/>
      <c r="M84" s="110"/>
      <c r="N84" s="110"/>
      <c r="O84" s="110"/>
      <c r="P84" s="72"/>
    </row>
    <row r="85" spans="2:17" ht="15" x14ac:dyDescent="0.25">
      <c r="B85" s="25"/>
      <c r="C85" s="25"/>
      <c r="D85" s="25"/>
      <c r="E85" s="25"/>
      <c r="F85" s="25"/>
      <c r="G85" s="109"/>
      <c r="H85" s="111" t="s">
        <v>64</v>
      </c>
      <c r="I85" s="111" t="s">
        <v>64</v>
      </c>
      <c r="J85" s="111"/>
      <c r="K85" s="111"/>
      <c r="L85" s="111"/>
      <c r="M85" s="111"/>
      <c r="N85" s="111"/>
      <c r="O85" s="111"/>
    </row>
    <row r="86" spans="2:17" ht="15" x14ac:dyDescent="0.25">
      <c r="G86" s="109"/>
      <c r="H86" s="111" t="s">
        <v>65</v>
      </c>
      <c r="I86" s="111" t="s">
        <v>66</v>
      </c>
      <c r="J86" s="112" t="s">
        <v>67</v>
      </c>
      <c r="K86" s="112" t="s">
        <v>68</v>
      </c>
      <c r="L86" s="112" t="s">
        <v>45</v>
      </c>
      <c r="M86" s="112" t="s">
        <v>69</v>
      </c>
      <c r="N86" s="112" t="s">
        <v>47</v>
      </c>
      <c r="O86" s="112" t="s">
        <v>138</v>
      </c>
    </row>
    <row r="87" spans="2:17" x14ac:dyDescent="0.2">
      <c r="B87" s="25" t="s">
        <v>292</v>
      </c>
      <c r="C87" s="25"/>
      <c r="D87" s="25"/>
      <c r="E87" s="25"/>
      <c r="F87" s="25"/>
      <c r="G87" s="109" t="s">
        <v>179</v>
      </c>
      <c r="H87" s="113">
        <f>H83</f>
        <v>3212.5</v>
      </c>
      <c r="I87" s="113">
        <f>I83</f>
        <v>1662.5</v>
      </c>
      <c r="J87" s="113">
        <f>J83+(G30*N2)</f>
        <v>0</v>
      </c>
      <c r="K87" s="113">
        <f>K83+(G43*N2)</f>
        <v>39615</v>
      </c>
      <c r="L87" s="113">
        <f>L83+(G44*N2)</f>
        <v>550</v>
      </c>
      <c r="M87" s="113">
        <f>M83+(G45*N2)</f>
        <v>1762.5</v>
      </c>
      <c r="N87" s="113">
        <f>N83+(G46*N2)</f>
        <v>0</v>
      </c>
      <c r="O87" s="113">
        <f>O83+(G55*N2)</f>
        <v>118897.5</v>
      </c>
      <c r="Q87" s="67"/>
    </row>
    <row r="88" spans="2:17" x14ac:dyDescent="0.2">
      <c r="B88" s="25"/>
      <c r="C88" s="25"/>
      <c r="D88" s="25"/>
      <c r="E88" s="25"/>
      <c r="F88" s="25"/>
      <c r="G88" s="109"/>
      <c r="H88" s="110"/>
      <c r="I88" s="110"/>
      <c r="J88" s="110"/>
      <c r="K88" s="110"/>
      <c r="L88" s="110"/>
      <c r="M88" s="110"/>
      <c r="N88" s="110"/>
      <c r="O88" s="110"/>
      <c r="P88" s="68"/>
      <c r="Q88" s="67"/>
    </row>
    <row r="89" spans="2:17" ht="15" x14ac:dyDescent="0.25">
      <c r="B89" s="77" t="str">
        <f>H4</f>
        <v>Option 2</v>
      </c>
      <c r="C89" s="78" t="str">
        <f>H5</f>
        <v>Achievable</v>
      </c>
      <c r="D89" s="78" t="str">
        <f>H6</f>
        <v>facility</v>
      </c>
      <c r="E89" s="79" t="str">
        <f>H7</f>
        <v>Small-scale</v>
      </c>
      <c r="F89" s="25" t="s">
        <v>176</v>
      </c>
      <c r="G89" s="109"/>
      <c r="H89" s="114" t="s">
        <v>64</v>
      </c>
      <c r="I89" s="114" t="s">
        <v>64</v>
      </c>
      <c r="J89" s="114"/>
      <c r="K89" s="114"/>
      <c r="L89" s="114"/>
      <c r="M89" s="114"/>
      <c r="N89" s="114"/>
      <c r="O89" s="114"/>
      <c r="P89" s="72"/>
    </row>
    <row r="90" spans="2:17" ht="15" x14ac:dyDescent="0.25">
      <c r="B90" s="25" t="s">
        <v>97</v>
      </c>
      <c r="G90" s="109" t="s">
        <v>133</v>
      </c>
      <c r="H90" s="114" t="s">
        <v>65</v>
      </c>
      <c r="I90" s="114" t="s">
        <v>66</v>
      </c>
      <c r="J90" s="115" t="s">
        <v>67</v>
      </c>
      <c r="K90" s="115" t="s">
        <v>68</v>
      </c>
      <c r="L90" s="115" t="s">
        <v>45</v>
      </c>
      <c r="M90" s="115" t="s">
        <v>69</v>
      </c>
      <c r="N90" s="115" t="s">
        <v>47</v>
      </c>
      <c r="O90" s="115" t="s">
        <v>70</v>
      </c>
      <c r="P90" s="72"/>
    </row>
    <row r="91" spans="2:17" x14ac:dyDescent="0.2">
      <c r="C91" s="26" t="s">
        <v>76</v>
      </c>
      <c r="G91" s="108"/>
      <c r="H91" s="109"/>
      <c r="I91" s="109"/>
      <c r="J91" s="110" t="s">
        <v>178</v>
      </c>
      <c r="K91" s="109"/>
      <c r="L91" s="109"/>
      <c r="M91" s="109"/>
      <c r="N91" s="109"/>
      <c r="O91" s="109"/>
      <c r="P91" s="72"/>
    </row>
    <row r="92" spans="2:17" x14ac:dyDescent="0.2">
      <c r="C92" s="26" t="s">
        <v>77</v>
      </c>
      <c r="G92" s="108">
        <f t="shared" ref="G92:G102" si="11">H17*$N$2</f>
        <v>0</v>
      </c>
      <c r="H92" s="109">
        <f>$G92*'Break-down of IGS and Deprec'!F59</f>
        <v>0</v>
      </c>
      <c r="I92" s="109">
        <f>$G92*'Break-down of IGS and Deprec'!G59</f>
        <v>0</v>
      </c>
      <c r="J92" s="109">
        <f>$G92*'Break-down of IGS and Deprec'!H59</f>
        <v>0</v>
      </c>
      <c r="K92" s="109">
        <f>$G92*'Break-down of IGS and Deprec'!I59</f>
        <v>0</v>
      </c>
      <c r="L92" s="109">
        <f>$G92*'Break-down of IGS and Deprec'!J59</f>
        <v>0</v>
      </c>
      <c r="M92" s="109">
        <f>$G92*'Break-down of IGS and Deprec'!K59</f>
        <v>0</v>
      </c>
      <c r="N92" s="109">
        <f>$G92*'Break-down of IGS and Deprec'!L59</f>
        <v>0</v>
      </c>
      <c r="O92" s="109">
        <f>$G92*'Break-down of IGS and Deprec'!M59</f>
        <v>0</v>
      </c>
      <c r="P92" s="72"/>
    </row>
    <row r="93" spans="2:17" x14ac:dyDescent="0.2">
      <c r="C93" s="26" t="s">
        <v>98</v>
      </c>
      <c r="G93" s="108">
        <f t="shared" si="11"/>
        <v>5000</v>
      </c>
      <c r="H93" s="109">
        <f>$G93*'Break-down of IGS and Deprec'!F60</f>
        <v>1750</v>
      </c>
      <c r="I93" s="109">
        <f>$G93*'Break-down of IGS and Deprec'!G60</f>
        <v>750</v>
      </c>
      <c r="J93" s="109">
        <f>$G93*'Break-down of IGS and Deprec'!H60</f>
        <v>0</v>
      </c>
      <c r="K93" s="109">
        <f>$G93*'Break-down of IGS and Deprec'!I60</f>
        <v>1000</v>
      </c>
      <c r="L93" s="109">
        <f>$G93*'Break-down of IGS and Deprec'!J60</f>
        <v>0</v>
      </c>
      <c r="M93" s="109">
        <f>$G93*'Break-down of IGS and Deprec'!K60</f>
        <v>0</v>
      </c>
      <c r="N93" s="109">
        <f>$G93*'Break-down of IGS and Deprec'!L60</f>
        <v>0</v>
      </c>
      <c r="O93" s="109">
        <f>$G93*'Break-down of IGS and Deprec'!M60</f>
        <v>1500</v>
      </c>
      <c r="P93" s="72"/>
    </row>
    <row r="94" spans="2:17" x14ac:dyDescent="0.2">
      <c r="C94" s="26" t="s">
        <v>79</v>
      </c>
      <c r="G94" s="108">
        <f t="shared" si="11"/>
        <v>0</v>
      </c>
      <c r="H94" s="109">
        <f>$G94*'Break-down of IGS and Deprec'!F61</f>
        <v>0</v>
      </c>
      <c r="I94" s="109">
        <f>$G94*'Break-down of IGS and Deprec'!G61</f>
        <v>0</v>
      </c>
      <c r="J94" s="109">
        <f>$G94*'Break-down of IGS and Deprec'!H61</f>
        <v>0</v>
      </c>
      <c r="K94" s="109">
        <f>$G94*'Break-down of IGS and Deprec'!I61</f>
        <v>0</v>
      </c>
      <c r="L94" s="109">
        <f>$G94*'Break-down of IGS and Deprec'!J61</f>
        <v>0</v>
      </c>
      <c r="M94" s="109">
        <f>$G94*'Break-down of IGS and Deprec'!K61</f>
        <v>0</v>
      </c>
      <c r="N94" s="109">
        <f>$G94*'Break-down of IGS and Deprec'!L61</f>
        <v>0</v>
      </c>
      <c r="O94" s="109">
        <f>$G94*'Break-down of IGS and Deprec'!M61</f>
        <v>0</v>
      </c>
      <c r="P94" s="72"/>
    </row>
    <row r="95" spans="2:17" x14ac:dyDescent="0.2">
      <c r="C95" s="26" t="s">
        <v>80</v>
      </c>
      <c r="G95" s="108">
        <f t="shared" si="11"/>
        <v>0</v>
      </c>
      <c r="H95" s="109">
        <f>$G95*'Break-down of IGS and Deprec'!F62</f>
        <v>0</v>
      </c>
      <c r="I95" s="109">
        <f>$G95*'Break-down of IGS and Deprec'!G62</f>
        <v>0</v>
      </c>
      <c r="J95" s="109">
        <f>$G95*'Break-down of IGS and Deprec'!H62</f>
        <v>0</v>
      </c>
      <c r="K95" s="109">
        <f>$G95*'Break-down of IGS and Deprec'!I62</f>
        <v>0</v>
      </c>
      <c r="L95" s="109">
        <f>$G95*'Break-down of IGS and Deprec'!J62</f>
        <v>0</v>
      </c>
      <c r="M95" s="109">
        <f>$G95*'Break-down of IGS and Deprec'!K62</f>
        <v>0</v>
      </c>
      <c r="N95" s="109">
        <f>$G95*'Break-down of IGS and Deprec'!L62</f>
        <v>0</v>
      </c>
      <c r="O95" s="109">
        <f>$G95*'Break-down of IGS and Deprec'!M62</f>
        <v>0</v>
      </c>
      <c r="P95" s="72"/>
    </row>
    <row r="96" spans="2:17" x14ac:dyDescent="0.2">
      <c r="C96" s="26" t="s">
        <v>81</v>
      </c>
      <c r="G96" s="108">
        <f t="shared" si="11"/>
        <v>3000</v>
      </c>
      <c r="H96" s="109">
        <f>$G96*'Break-down of IGS and Deprec'!F63</f>
        <v>300</v>
      </c>
      <c r="I96" s="109">
        <f>$G96*'Break-down of IGS and Deprec'!G63</f>
        <v>600</v>
      </c>
      <c r="J96" s="109">
        <f>$G96*'Break-down of IGS and Deprec'!H63</f>
        <v>0</v>
      </c>
      <c r="K96" s="109">
        <f>$G96*'Break-down of IGS and Deprec'!I63</f>
        <v>450</v>
      </c>
      <c r="L96" s="109">
        <f>$G96*'Break-down of IGS and Deprec'!J63</f>
        <v>300</v>
      </c>
      <c r="M96" s="109">
        <f>$G96*'Break-down of IGS and Deprec'!K63</f>
        <v>750</v>
      </c>
      <c r="N96" s="109">
        <f>$G96*'Break-down of IGS and Deprec'!L63</f>
        <v>0</v>
      </c>
      <c r="O96" s="109">
        <f>$G96*'Break-down of IGS and Deprec'!M63</f>
        <v>600</v>
      </c>
      <c r="P96" s="72"/>
    </row>
    <row r="97" spans="2:16" x14ac:dyDescent="0.2">
      <c r="C97" s="26" t="s">
        <v>82</v>
      </c>
      <c r="G97" s="108">
        <f t="shared" si="11"/>
        <v>5000</v>
      </c>
      <c r="H97" s="109">
        <f>$G97*'Break-down of IGS and Deprec'!F64</f>
        <v>1000</v>
      </c>
      <c r="I97" s="109">
        <f>$G97*'Break-down of IGS and Deprec'!G64</f>
        <v>0</v>
      </c>
      <c r="J97" s="109">
        <f>$G97*'Break-down of IGS and Deprec'!H64</f>
        <v>0</v>
      </c>
      <c r="K97" s="109">
        <f>$G97*'Break-down of IGS and Deprec'!I64</f>
        <v>2400</v>
      </c>
      <c r="L97" s="109">
        <f>$G97*'Break-down of IGS and Deprec'!J64</f>
        <v>0</v>
      </c>
      <c r="M97" s="109">
        <f>$G97*'Break-down of IGS and Deprec'!K64</f>
        <v>250</v>
      </c>
      <c r="N97" s="109">
        <f>$G97*'Break-down of IGS and Deprec'!L64</f>
        <v>0</v>
      </c>
      <c r="O97" s="109">
        <f>$G97*'Break-down of IGS and Deprec'!M64</f>
        <v>1350</v>
      </c>
      <c r="P97" s="72"/>
    </row>
    <row r="98" spans="2:16" x14ac:dyDescent="0.2">
      <c r="C98" s="26" t="s">
        <v>74</v>
      </c>
      <c r="G98" s="108">
        <f t="shared" si="11"/>
        <v>1750</v>
      </c>
      <c r="H98" s="109">
        <f>$G98*'Break-down of IGS and Deprec'!F66</f>
        <v>350</v>
      </c>
      <c r="I98" s="109">
        <f>$G98*'Break-down of IGS and Deprec'!G66</f>
        <v>0</v>
      </c>
      <c r="J98" s="109">
        <f>$G98*'Break-down of IGS and Deprec'!H66</f>
        <v>0</v>
      </c>
      <c r="K98" s="109">
        <f>$G98*'Break-down of IGS and Deprec'!I66</f>
        <v>840</v>
      </c>
      <c r="L98" s="109">
        <f>$G98*'Break-down of IGS and Deprec'!J66</f>
        <v>0</v>
      </c>
      <c r="M98" s="109">
        <f>$G98*'Break-down of IGS and Deprec'!K66</f>
        <v>87.5</v>
      </c>
      <c r="N98" s="109">
        <f>$G98*'Break-down of IGS and Deprec'!L66</f>
        <v>0</v>
      </c>
      <c r="O98" s="109">
        <f>$G98*'Break-down of IGS and Deprec'!M66</f>
        <v>472.50000000000006</v>
      </c>
      <c r="P98" s="72"/>
    </row>
    <row r="99" spans="2:16" x14ac:dyDescent="0.2">
      <c r="C99" s="26" t="s">
        <v>83</v>
      </c>
      <c r="G99" s="108">
        <f t="shared" si="11"/>
        <v>3750</v>
      </c>
      <c r="H99" s="109">
        <f>$G99*'Break-down of IGS and Deprec'!F65</f>
        <v>375</v>
      </c>
      <c r="I99" s="109">
        <f>$G99*'Break-down of IGS and Deprec'!G65</f>
        <v>750</v>
      </c>
      <c r="J99" s="109">
        <f>$G99*'Break-down of IGS and Deprec'!H65</f>
        <v>0</v>
      </c>
      <c r="K99" s="109">
        <f>$G99*'Break-down of IGS and Deprec'!I65</f>
        <v>562.5</v>
      </c>
      <c r="L99" s="109">
        <f>$G99*'Break-down of IGS and Deprec'!J65</f>
        <v>375</v>
      </c>
      <c r="M99" s="109">
        <f>$G99*'Break-down of IGS and Deprec'!K65</f>
        <v>937.5</v>
      </c>
      <c r="N99" s="109">
        <f>$G99*'Break-down of IGS and Deprec'!L65</f>
        <v>0</v>
      </c>
      <c r="O99" s="109">
        <f>$G99*'Break-down of IGS and Deprec'!M65</f>
        <v>750</v>
      </c>
      <c r="P99" s="72"/>
    </row>
    <row r="100" spans="2:16" x14ac:dyDescent="0.2">
      <c r="C100" s="26" t="s">
        <v>99</v>
      </c>
      <c r="G100" s="108">
        <f t="shared" si="11"/>
        <v>0</v>
      </c>
      <c r="H100" s="109">
        <f>$G100*'Break-down of IGS and Deprec'!F67</f>
        <v>0</v>
      </c>
      <c r="I100" s="109">
        <f>$G100*'Break-down of IGS and Deprec'!G67</f>
        <v>0</v>
      </c>
      <c r="J100" s="109">
        <f>$G100*'Break-down of IGS and Deprec'!H67</f>
        <v>0</v>
      </c>
      <c r="K100" s="109">
        <f>$G100*'Break-down of IGS and Deprec'!I67</f>
        <v>0</v>
      </c>
      <c r="L100" s="109">
        <f>$G100*'Break-down of IGS and Deprec'!J67</f>
        <v>0</v>
      </c>
      <c r="M100" s="109">
        <f>$G100*'Break-down of IGS and Deprec'!K67</f>
        <v>0</v>
      </c>
      <c r="N100" s="109">
        <f>$G100*'Break-down of IGS and Deprec'!L67</f>
        <v>0</v>
      </c>
      <c r="O100" s="109">
        <f>$G100*'Break-down of IGS and Deprec'!M67</f>
        <v>0</v>
      </c>
      <c r="P100" s="72"/>
    </row>
    <row r="101" spans="2:16" x14ac:dyDescent="0.2">
      <c r="C101" s="26" t="s">
        <v>100</v>
      </c>
      <c r="G101" s="108">
        <f t="shared" si="11"/>
        <v>0</v>
      </c>
      <c r="H101" s="109">
        <f>$G101*'Break-down of IGS and Deprec'!F68</f>
        <v>0</v>
      </c>
      <c r="I101" s="109">
        <f>$G101*'Break-down of IGS and Deprec'!G68</f>
        <v>0</v>
      </c>
      <c r="J101" s="109">
        <f>$G101*'Break-down of IGS and Deprec'!H68</f>
        <v>0</v>
      </c>
      <c r="K101" s="109">
        <f>$G101*'Break-down of IGS and Deprec'!I68</f>
        <v>0</v>
      </c>
      <c r="L101" s="109">
        <f>$G101*'Break-down of IGS and Deprec'!J68</f>
        <v>0</v>
      </c>
      <c r="M101" s="109">
        <f>$G101*'Break-down of IGS and Deprec'!K68</f>
        <v>0</v>
      </c>
      <c r="N101" s="109">
        <f>$G101*'Break-down of IGS and Deprec'!L68</f>
        <v>0</v>
      </c>
      <c r="O101" s="109">
        <f>$G101*'Break-down of IGS and Deprec'!M68</f>
        <v>0</v>
      </c>
      <c r="P101" s="72"/>
    </row>
    <row r="102" spans="2:16" x14ac:dyDescent="0.2">
      <c r="C102" s="26" t="s">
        <v>101</v>
      </c>
      <c r="G102" s="108">
        <f t="shared" si="11"/>
        <v>0</v>
      </c>
      <c r="H102" s="109">
        <f>$G102*'Break-down of IGS and Deprec'!F69</f>
        <v>0</v>
      </c>
      <c r="I102" s="109">
        <f>$G102*'Break-down of IGS and Deprec'!G69</f>
        <v>0</v>
      </c>
      <c r="J102" s="109">
        <f>$G102*'Break-down of IGS and Deprec'!H69</f>
        <v>0</v>
      </c>
      <c r="K102" s="109">
        <f>$G102*'Break-down of IGS and Deprec'!I69</f>
        <v>0</v>
      </c>
      <c r="L102" s="109">
        <f>$G102*'Break-down of IGS and Deprec'!J69</f>
        <v>0</v>
      </c>
      <c r="M102" s="109">
        <f>$G102*'Break-down of IGS and Deprec'!K69</f>
        <v>0</v>
      </c>
      <c r="N102" s="109">
        <f>$G102*'Break-down of IGS and Deprec'!L69</f>
        <v>0</v>
      </c>
      <c r="O102" s="109">
        <f>$G102*'Break-down of IGS and Deprec'!M69</f>
        <v>0</v>
      </c>
      <c r="P102" s="72"/>
    </row>
    <row r="103" spans="2:16" x14ac:dyDescent="0.2">
      <c r="B103" s="25"/>
      <c r="C103" s="25" t="s">
        <v>27</v>
      </c>
      <c r="D103" s="25"/>
      <c r="E103" s="25"/>
      <c r="F103" s="25"/>
      <c r="G103" s="108">
        <f>SUM(G91:G102)</f>
        <v>18500</v>
      </c>
      <c r="H103" s="108">
        <f t="shared" ref="H103" si="12">SUM(H91:H102)</f>
        <v>3775</v>
      </c>
      <c r="I103" s="108">
        <f t="shared" ref="I103" si="13">SUM(I91:I102)</f>
        <v>2100</v>
      </c>
      <c r="J103" s="108">
        <f t="shared" ref="J103" si="14">SUM(J91:J102)</f>
        <v>0</v>
      </c>
      <c r="K103" s="108">
        <f t="shared" ref="K103" si="15">SUM(K91:K102)</f>
        <v>5252.5</v>
      </c>
      <c r="L103" s="108">
        <f t="shared" ref="L103" si="16">SUM(L91:L102)</f>
        <v>675</v>
      </c>
      <c r="M103" s="108">
        <f t="shared" ref="M103" si="17">SUM(M91:M102)</f>
        <v>2025</v>
      </c>
      <c r="N103" s="108">
        <f t="shared" ref="N103" si="18">SUM(N91:N102)</f>
        <v>0</v>
      </c>
      <c r="O103" s="108">
        <f t="shared" ref="O103" si="19">SUM(O91:O102)</f>
        <v>4672.5</v>
      </c>
      <c r="P103" s="72"/>
    </row>
    <row r="104" spans="2:16" x14ac:dyDescent="0.2">
      <c r="B104" s="25" t="s">
        <v>49</v>
      </c>
      <c r="F104" s="25"/>
      <c r="G104" s="109"/>
      <c r="H104" s="109"/>
      <c r="I104" s="109"/>
      <c r="J104" s="109"/>
      <c r="K104" s="109"/>
      <c r="L104" s="109"/>
      <c r="M104" s="109"/>
      <c r="N104" s="109"/>
      <c r="O104" s="109"/>
      <c r="P104" s="72"/>
    </row>
    <row r="105" spans="2:16" x14ac:dyDescent="0.2">
      <c r="C105" s="26" t="s">
        <v>88</v>
      </c>
      <c r="F105" s="25"/>
      <c r="G105" s="108">
        <f>H49*$N$2</f>
        <v>0</v>
      </c>
      <c r="H105" s="109">
        <f>$G105*'Break-down of IGS and Deprec'!H86</f>
        <v>0</v>
      </c>
      <c r="I105" s="109">
        <f>$G105*'Break-down of IGS and Deprec'!I86</f>
        <v>0</v>
      </c>
      <c r="J105" s="109">
        <f>$G105*'Break-down of IGS and Deprec'!J86</f>
        <v>0</v>
      </c>
      <c r="K105" s="109">
        <f>$G105*'Break-down of IGS and Deprec'!K86</f>
        <v>0</v>
      </c>
      <c r="L105" s="109">
        <f>$G105*'Break-down of IGS and Deprec'!L86</f>
        <v>0</v>
      </c>
      <c r="M105" s="109">
        <f>$G105*'Break-down of IGS and Deprec'!M86</f>
        <v>0</v>
      </c>
      <c r="N105" s="109">
        <f>$G105*'Break-down of IGS and Deprec'!N86</f>
        <v>0</v>
      </c>
      <c r="O105" s="109">
        <f>$G105*'Break-down of IGS and Deprec'!O86</f>
        <v>0</v>
      </c>
      <c r="P105" s="72"/>
    </row>
    <row r="106" spans="2:16" x14ac:dyDescent="0.2">
      <c r="C106" s="26" t="s">
        <v>90</v>
      </c>
      <c r="F106" s="25"/>
      <c r="G106" s="108">
        <f>H50*$N$2</f>
        <v>0</v>
      </c>
      <c r="H106" s="109">
        <f>$G106*'Break-down of IGS and Deprec'!H88</f>
        <v>0</v>
      </c>
      <c r="I106" s="109">
        <f>$G106*'Break-down of IGS and Deprec'!I88</f>
        <v>0</v>
      </c>
      <c r="J106" s="109">
        <f>$G106*'Break-down of IGS and Deprec'!J88</f>
        <v>0</v>
      </c>
      <c r="K106" s="109">
        <f>$G106*'Break-down of IGS and Deprec'!K88</f>
        <v>0</v>
      </c>
      <c r="L106" s="109">
        <f>$G106*'Break-down of IGS and Deprec'!L88</f>
        <v>0</v>
      </c>
      <c r="M106" s="109">
        <f>$G106*'Break-down of IGS and Deprec'!M88</f>
        <v>0</v>
      </c>
      <c r="N106" s="109">
        <f>$G106*'Break-down of IGS and Deprec'!N88</f>
        <v>0</v>
      </c>
      <c r="O106" s="109">
        <f>$G106*'Break-down of IGS and Deprec'!O88</f>
        <v>0</v>
      </c>
      <c r="P106" s="72"/>
    </row>
    <row r="107" spans="2:16" x14ac:dyDescent="0.2">
      <c r="C107" s="26" t="s">
        <v>87</v>
      </c>
      <c r="F107" s="25"/>
      <c r="G107" s="108">
        <f>H51*$N$2</f>
        <v>0</v>
      </c>
      <c r="H107" s="109">
        <f>$G107*'Break-down of IGS and Deprec'!H85</f>
        <v>0</v>
      </c>
      <c r="I107" s="109">
        <f>$G107*'Break-down of IGS and Deprec'!I85</f>
        <v>0</v>
      </c>
      <c r="J107" s="109">
        <f>$G107*'Break-down of IGS and Deprec'!J85</f>
        <v>0</v>
      </c>
      <c r="K107" s="109">
        <f>$G107*'Break-down of IGS and Deprec'!K85</f>
        <v>0</v>
      </c>
      <c r="L107" s="109">
        <f>$G107*'Break-down of IGS and Deprec'!L85</f>
        <v>0</v>
      </c>
      <c r="M107" s="109">
        <f>$G107*'Break-down of IGS and Deprec'!M85</f>
        <v>0</v>
      </c>
      <c r="N107" s="109">
        <f>$G107*'Break-down of IGS and Deprec'!N85</f>
        <v>0</v>
      </c>
      <c r="O107" s="109">
        <f>$G107*'Break-down of IGS and Deprec'!O85</f>
        <v>0</v>
      </c>
      <c r="P107" s="72"/>
    </row>
    <row r="108" spans="2:16" x14ac:dyDescent="0.2">
      <c r="C108" s="26" t="s">
        <v>175</v>
      </c>
      <c r="F108" s="25"/>
      <c r="G108" s="108">
        <f>H52*$N$2</f>
        <v>0</v>
      </c>
      <c r="H108" s="109">
        <f>$G108*'Break-down of IGS and Deprec'!H89</f>
        <v>0</v>
      </c>
      <c r="I108" s="109">
        <f>$G108*'Break-down of IGS and Deprec'!I89</f>
        <v>0</v>
      </c>
      <c r="J108" s="109">
        <f>$G108*'Break-down of IGS and Deprec'!J89</f>
        <v>0</v>
      </c>
      <c r="K108" s="109">
        <f>$G108*'Break-down of IGS and Deprec'!K89</f>
        <v>0</v>
      </c>
      <c r="L108" s="109">
        <f>$G108*'Break-down of IGS and Deprec'!L89</f>
        <v>0</v>
      </c>
      <c r="M108" s="109">
        <f>$G108*'Break-down of IGS and Deprec'!M89</f>
        <v>0</v>
      </c>
      <c r="N108" s="109">
        <f>$G108*'Break-down of IGS and Deprec'!N89</f>
        <v>0</v>
      </c>
      <c r="O108" s="109">
        <f>$G108*'Break-down of IGS and Deprec'!O89</f>
        <v>0</v>
      </c>
      <c r="P108" s="72"/>
    </row>
    <row r="109" spans="2:16" x14ac:dyDescent="0.2">
      <c r="C109" s="26" t="s">
        <v>26</v>
      </c>
      <c r="F109" s="25"/>
      <c r="G109" s="108">
        <f>H53*$N$2</f>
        <v>0</v>
      </c>
      <c r="H109" s="109"/>
      <c r="I109" s="109"/>
      <c r="J109" s="109"/>
      <c r="K109" s="109"/>
      <c r="L109" s="109"/>
      <c r="M109" s="109"/>
      <c r="N109" s="109"/>
      <c r="O109" s="109"/>
      <c r="P109" s="72"/>
    </row>
    <row r="110" spans="2:16" x14ac:dyDescent="0.2">
      <c r="C110" s="25" t="s">
        <v>52</v>
      </c>
      <c r="F110" s="25"/>
      <c r="G110" s="108">
        <f>SUM(G105:G109)</f>
        <v>0</v>
      </c>
      <c r="H110" s="108">
        <f t="shared" ref="H110" si="20">SUM(H105:H109)</f>
        <v>0</v>
      </c>
      <c r="I110" s="108">
        <f t="shared" ref="I110" si="21">SUM(I105:I109)</f>
        <v>0</v>
      </c>
      <c r="J110" s="108">
        <f t="shared" ref="J110" si="22">SUM(J105:J109)</f>
        <v>0</v>
      </c>
      <c r="K110" s="108">
        <f t="shared" ref="K110" si="23">SUM(K105:K109)</f>
        <v>0</v>
      </c>
      <c r="L110" s="108">
        <f t="shared" ref="L110" si="24">SUM(L105:L109)</f>
        <v>0</v>
      </c>
      <c r="M110" s="108">
        <f t="shared" ref="M110" si="25">SUM(M105:M109)</f>
        <v>0</v>
      </c>
      <c r="N110" s="108">
        <f t="shared" ref="N110" si="26">SUM(N105:N109)</f>
        <v>0</v>
      </c>
      <c r="O110" s="108">
        <f t="shared" ref="O110" si="27">SUM(O105:O109)</f>
        <v>0</v>
      </c>
      <c r="P110" s="72"/>
    </row>
    <row r="111" spans="2:16" ht="15" x14ac:dyDescent="0.25">
      <c r="B111" s="25"/>
      <c r="C111" s="25"/>
      <c r="D111" s="25"/>
      <c r="G111" s="109"/>
      <c r="H111" s="111" t="s">
        <v>64</v>
      </c>
      <c r="I111" s="111" t="s">
        <v>64</v>
      </c>
      <c r="J111" s="111"/>
      <c r="K111" s="111"/>
      <c r="L111" s="111"/>
      <c r="M111" s="111"/>
      <c r="N111" s="111"/>
      <c r="O111" s="111"/>
      <c r="P111" s="72"/>
    </row>
    <row r="112" spans="2:16" ht="15" x14ac:dyDescent="0.25">
      <c r="G112" s="109"/>
      <c r="H112" s="111" t="s">
        <v>65</v>
      </c>
      <c r="I112" s="111" t="s">
        <v>66</v>
      </c>
      <c r="J112" s="112" t="s">
        <v>67</v>
      </c>
      <c r="K112" s="112" t="s">
        <v>68</v>
      </c>
      <c r="L112" s="112" t="s">
        <v>45</v>
      </c>
      <c r="M112" s="112" t="s">
        <v>69</v>
      </c>
      <c r="N112" s="112" t="s">
        <v>47</v>
      </c>
      <c r="O112" s="112" t="s">
        <v>70</v>
      </c>
      <c r="P112" s="72"/>
    </row>
    <row r="113" spans="2:19" x14ac:dyDescent="0.2">
      <c r="B113" s="25" t="s">
        <v>297</v>
      </c>
      <c r="C113" s="25"/>
      <c r="D113" s="25"/>
      <c r="E113" s="25"/>
      <c r="F113" s="25"/>
      <c r="G113" s="109" t="s">
        <v>179</v>
      </c>
      <c r="H113" s="113">
        <f>H103+H110</f>
        <v>3775</v>
      </c>
      <c r="I113" s="113">
        <f t="shared" ref="I113:O113" si="28">I103+I110</f>
        <v>2100</v>
      </c>
      <c r="J113" s="113">
        <f t="shared" si="28"/>
        <v>0</v>
      </c>
      <c r="K113" s="113">
        <f t="shared" si="28"/>
        <v>5252.5</v>
      </c>
      <c r="L113" s="113">
        <f t="shared" si="28"/>
        <v>675</v>
      </c>
      <c r="M113" s="113">
        <f t="shared" si="28"/>
        <v>2025</v>
      </c>
      <c r="N113" s="113">
        <f t="shared" si="28"/>
        <v>0</v>
      </c>
      <c r="O113" s="113">
        <f t="shared" si="28"/>
        <v>4672.5</v>
      </c>
      <c r="P113" s="72"/>
    </row>
    <row r="114" spans="2:19" x14ac:dyDescent="0.2">
      <c r="B114" s="25"/>
      <c r="C114" s="25"/>
      <c r="D114" s="25"/>
      <c r="E114" s="25"/>
      <c r="F114" s="25"/>
      <c r="G114" s="109"/>
      <c r="H114" s="110"/>
      <c r="I114" s="110"/>
      <c r="J114" s="110"/>
      <c r="K114" s="110"/>
      <c r="L114" s="110"/>
      <c r="M114" s="110"/>
      <c r="N114" s="110"/>
      <c r="O114" s="110"/>
      <c r="P114" s="72"/>
    </row>
    <row r="115" spans="2:19" ht="15" x14ac:dyDescent="0.25">
      <c r="B115" s="25"/>
      <c r="C115" s="25"/>
      <c r="D115" s="25"/>
      <c r="E115" s="25"/>
      <c r="F115" s="25"/>
      <c r="G115" s="109"/>
      <c r="H115" s="111" t="s">
        <v>64</v>
      </c>
      <c r="I115" s="111" t="s">
        <v>64</v>
      </c>
      <c r="J115" s="111"/>
      <c r="K115" s="111"/>
      <c r="L115" s="111"/>
      <c r="M115" s="111"/>
      <c r="N115" s="111"/>
      <c r="O115" s="111"/>
      <c r="P115" s="72"/>
    </row>
    <row r="116" spans="2:19" ht="15" x14ac:dyDescent="0.25">
      <c r="G116" s="109"/>
      <c r="H116" s="111" t="s">
        <v>65</v>
      </c>
      <c r="I116" s="111" t="s">
        <v>66</v>
      </c>
      <c r="J116" s="112" t="s">
        <v>67</v>
      </c>
      <c r="K116" s="112" t="s">
        <v>68</v>
      </c>
      <c r="L116" s="112" t="s">
        <v>45</v>
      </c>
      <c r="M116" s="112" t="s">
        <v>69</v>
      </c>
      <c r="N116" s="112" t="s">
        <v>47</v>
      </c>
      <c r="O116" s="112" t="s">
        <v>138</v>
      </c>
      <c r="P116" s="72"/>
    </row>
    <row r="117" spans="2:19" x14ac:dyDescent="0.2">
      <c r="B117" s="25" t="s">
        <v>298</v>
      </c>
      <c r="C117" s="25"/>
      <c r="D117" s="25"/>
      <c r="E117" s="25"/>
      <c r="F117" s="25"/>
      <c r="G117" s="109" t="s">
        <v>179</v>
      </c>
      <c r="H117" s="113">
        <f>H113</f>
        <v>3775</v>
      </c>
      <c r="I117" s="113">
        <f>I113</f>
        <v>2100</v>
      </c>
      <c r="J117" s="116">
        <f>J113+(H30*N2)</f>
        <v>0</v>
      </c>
      <c r="K117" s="116">
        <f>K113+(H43*N2)</f>
        <v>43252.5</v>
      </c>
      <c r="L117" s="116">
        <f>L113+(H44*N2)</f>
        <v>675</v>
      </c>
      <c r="M117" s="116">
        <f>M113+(H45*N2)</f>
        <v>2075</v>
      </c>
      <c r="N117" s="116">
        <f>N113+(H46*N2)</f>
        <v>0</v>
      </c>
      <c r="O117" s="116">
        <f>O113+(H55*N2)</f>
        <v>178122.5</v>
      </c>
      <c r="P117" s="72"/>
      <c r="Q117" s="73"/>
      <c r="S117" s="73"/>
    </row>
    <row r="118" spans="2:19" x14ac:dyDescent="0.2">
      <c r="G118" s="109"/>
      <c r="H118" s="109"/>
      <c r="I118" s="109"/>
      <c r="J118" s="109"/>
      <c r="K118" s="109"/>
      <c r="L118" s="109"/>
      <c r="M118" s="109"/>
      <c r="N118" s="109"/>
      <c r="O118" s="109"/>
      <c r="P118" s="72"/>
    </row>
    <row r="119" spans="2:19" ht="15" x14ac:dyDescent="0.25">
      <c r="B119" s="77" t="str">
        <f>I4</f>
        <v>Option 3</v>
      </c>
      <c r="C119" s="78" t="str">
        <f>I5</f>
        <v>Current</v>
      </c>
      <c r="D119" s="78" t="str">
        <f>I6</f>
        <v>facility</v>
      </c>
      <c r="E119" s="79" t="str">
        <f>I7</f>
        <v>Medium</v>
      </c>
      <c r="F119" s="25" t="s">
        <v>176</v>
      </c>
      <c r="G119" s="109"/>
      <c r="H119" s="114" t="s">
        <v>64</v>
      </c>
      <c r="I119" s="114" t="s">
        <v>64</v>
      </c>
      <c r="J119" s="114"/>
      <c r="K119" s="114"/>
      <c r="L119" s="114"/>
      <c r="M119" s="114"/>
      <c r="N119" s="114"/>
      <c r="O119" s="114"/>
      <c r="P119" s="72"/>
    </row>
    <row r="120" spans="2:19" ht="15" x14ac:dyDescent="0.25">
      <c r="B120" s="25" t="s">
        <v>97</v>
      </c>
      <c r="G120" s="109" t="s">
        <v>133</v>
      </c>
      <c r="H120" s="114" t="s">
        <v>65</v>
      </c>
      <c r="I120" s="114" t="s">
        <v>66</v>
      </c>
      <c r="J120" s="114" t="s">
        <v>67</v>
      </c>
      <c r="K120" s="114" t="s">
        <v>68</v>
      </c>
      <c r="L120" s="114" t="s">
        <v>45</v>
      </c>
      <c r="M120" s="114" t="s">
        <v>69</v>
      </c>
      <c r="N120" s="114" t="s">
        <v>47</v>
      </c>
      <c r="O120" s="114" t="s">
        <v>70</v>
      </c>
      <c r="P120" s="72"/>
    </row>
    <row r="121" spans="2:19" x14ac:dyDescent="0.2">
      <c r="C121" s="26" t="s">
        <v>76</v>
      </c>
      <c r="G121" s="108"/>
      <c r="H121" s="109"/>
      <c r="I121" s="109"/>
      <c r="J121" s="110" t="s">
        <v>178</v>
      </c>
      <c r="K121" s="109"/>
      <c r="L121" s="109"/>
      <c r="M121" s="109"/>
      <c r="N121" s="109"/>
      <c r="O121" s="109"/>
      <c r="P121" s="72"/>
    </row>
    <row r="122" spans="2:19" x14ac:dyDescent="0.2">
      <c r="C122" s="26" t="s">
        <v>77</v>
      </c>
      <c r="G122" s="108">
        <f t="shared" ref="G122:G132" si="29">I17*$N$2</f>
        <v>0</v>
      </c>
      <c r="H122" s="109">
        <f>$G122*'Break-down of IGS and Deprec'!F59</f>
        <v>0</v>
      </c>
      <c r="I122" s="109">
        <f>$G122*'Break-down of IGS and Deprec'!G59</f>
        <v>0</v>
      </c>
      <c r="J122" s="109">
        <f>$G122*'Break-down of IGS and Deprec'!H59</f>
        <v>0</v>
      </c>
      <c r="K122" s="109">
        <f>$G122*'Break-down of IGS and Deprec'!I59</f>
        <v>0</v>
      </c>
      <c r="L122" s="109">
        <f>$G122*'Break-down of IGS and Deprec'!J59</f>
        <v>0</v>
      </c>
      <c r="M122" s="109">
        <f>$G122*'Break-down of IGS and Deprec'!K59</f>
        <v>0</v>
      </c>
      <c r="N122" s="109">
        <f>$G122*'Break-down of IGS and Deprec'!L59</f>
        <v>0</v>
      </c>
      <c r="O122" s="109">
        <f>$G122*'Break-down of IGS and Deprec'!M59</f>
        <v>0</v>
      </c>
      <c r="P122" s="72"/>
    </row>
    <row r="123" spans="2:19" x14ac:dyDescent="0.2">
      <c r="C123" s="26" t="s">
        <v>98</v>
      </c>
      <c r="G123" s="108">
        <f t="shared" si="29"/>
        <v>0</v>
      </c>
      <c r="H123" s="109">
        <f>$G123*'Break-down of IGS and Deprec'!F60</f>
        <v>0</v>
      </c>
      <c r="I123" s="109">
        <f>$G123*'Break-down of IGS and Deprec'!G60</f>
        <v>0</v>
      </c>
      <c r="J123" s="109">
        <f>$G123*'Break-down of IGS and Deprec'!H60</f>
        <v>0</v>
      </c>
      <c r="K123" s="109">
        <f>$G123*'Break-down of IGS and Deprec'!I60</f>
        <v>0</v>
      </c>
      <c r="L123" s="109">
        <f>$G123*'Break-down of IGS and Deprec'!J60</f>
        <v>0</v>
      </c>
      <c r="M123" s="109">
        <f>$G123*'Break-down of IGS and Deprec'!K60</f>
        <v>0</v>
      </c>
      <c r="N123" s="109">
        <f>$G123*'Break-down of IGS and Deprec'!L60</f>
        <v>0</v>
      </c>
      <c r="O123" s="109">
        <f>$G123*'Break-down of IGS and Deprec'!M60</f>
        <v>0</v>
      </c>
      <c r="P123" s="72"/>
    </row>
    <row r="124" spans="2:19" x14ac:dyDescent="0.2">
      <c r="C124" s="26" t="s">
        <v>79</v>
      </c>
      <c r="G124" s="108">
        <f t="shared" si="29"/>
        <v>9000</v>
      </c>
      <c r="H124" s="109">
        <f>$G124*'Break-down of IGS and Deprec'!F61</f>
        <v>5040.0000000000009</v>
      </c>
      <c r="I124" s="109">
        <f>$G124*'Break-down of IGS and Deprec'!G61</f>
        <v>0</v>
      </c>
      <c r="J124" s="109">
        <f>$G124*'Break-down of IGS and Deprec'!H61</f>
        <v>0</v>
      </c>
      <c r="K124" s="109">
        <f>$G124*'Break-down of IGS and Deprec'!I61</f>
        <v>900</v>
      </c>
      <c r="L124" s="109">
        <f>$G124*'Break-down of IGS and Deprec'!J61</f>
        <v>0</v>
      </c>
      <c r="M124" s="109">
        <f>$G124*'Break-down of IGS and Deprec'!K61</f>
        <v>2160</v>
      </c>
      <c r="N124" s="109">
        <f>$G124*'Break-down of IGS and Deprec'!L61</f>
        <v>0</v>
      </c>
      <c r="O124" s="109">
        <f>$G124*'Break-down of IGS and Deprec'!M61</f>
        <v>899.99999999999989</v>
      </c>
      <c r="P124" s="72"/>
    </row>
    <row r="125" spans="2:19" x14ac:dyDescent="0.2">
      <c r="C125" s="26" t="s">
        <v>80</v>
      </c>
      <c r="G125" s="108">
        <f t="shared" si="29"/>
        <v>0</v>
      </c>
      <c r="H125" s="109">
        <f>$G125*'Break-down of IGS and Deprec'!F62</f>
        <v>0</v>
      </c>
      <c r="I125" s="109">
        <f>$G125*'Break-down of IGS and Deprec'!G62</f>
        <v>0</v>
      </c>
      <c r="J125" s="109">
        <f>$G125*'Break-down of IGS and Deprec'!H62</f>
        <v>0</v>
      </c>
      <c r="K125" s="109">
        <f>$G125*'Break-down of IGS and Deprec'!I62</f>
        <v>0</v>
      </c>
      <c r="L125" s="109">
        <f>$G125*'Break-down of IGS and Deprec'!J62</f>
        <v>0</v>
      </c>
      <c r="M125" s="109">
        <f>$G125*'Break-down of IGS and Deprec'!K62</f>
        <v>0</v>
      </c>
      <c r="N125" s="109">
        <f>$G125*'Break-down of IGS and Deprec'!L62</f>
        <v>0</v>
      </c>
      <c r="O125" s="109">
        <f>$G125*'Break-down of IGS and Deprec'!M62</f>
        <v>0</v>
      </c>
      <c r="P125" s="72"/>
    </row>
    <row r="126" spans="2:19" x14ac:dyDescent="0.2">
      <c r="C126" s="26" t="s">
        <v>81</v>
      </c>
      <c r="G126" s="108">
        <f t="shared" si="29"/>
        <v>7500</v>
      </c>
      <c r="H126" s="109">
        <f>$G126*'Break-down of IGS and Deprec'!F63</f>
        <v>750</v>
      </c>
      <c r="I126" s="109">
        <f>$G126*'Break-down of IGS and Deprec'!G63</f>
        <v>1500</v>
      </c>
      <c r="J126" s="109">
        <f>$G126*'Break-down of IGS and Deprec'!H63</f>
        <v>0</v>
      </c>
      <c r="K126" s="109">
        <f>$G126*'Break-down of IGS and Deprec'!I63</f>
        <v>1125</v>
      </c>
      <c r="L126" s="109">
        <f>$G126*'Break-down of IGS and Deprec'!J63</f>
        <v>750</v>
      </c>
      <c r="M126" s="109">
        <f>$G126*'Break-down of IGS and Deprec'!K63</f>
        <v>1875</v>
      </c>
      <c r="N126" s="109">
        <f>$G126*'Break-down of IGS and Deprec'!L63</f>
        <v>0</v>
      </c>
      <c r="O126" s="109">
        <f>$G126*'Break-down of IGS and Deprec'!M63</f>
        <v>1500</v>
      </c>
      <c r="P126" s="72"/>
    </row>
    <row r="127" spans="2:19" x14ac:dyDescent="0.2">
      <c r="C127" s="26" t="s">
        <v>82</v>
      </c>
      <c r="G127" s="108">
        <f t="shared" si="29"/>
        <v>5000</v>
      </c>
      <c r="H127" s="109">
        <f>$G127*'Break-down of IGS and Deprec'!F64</f>
        <v>1000</v>
      </c>
      <c r="I127" s="109">
        <f>$G127*'Break-down of IGS and Deprec'!G64</f>
        <v>0</v>
      </c>
      <c r="J127" s="109">
        <f>$G127*'Break-down of IGS and Deprec'!H64</f>
        <v>0</v>
      </c>
      <c r="K127" s="109">
        <f>$G127*'Break-down of IGS and Deprec'!I64</f>
        <v>2400</v>
      </c>
      <c r="L127" s="109">
        <f>$G127*'Break-down of IGS and Deprec'!J64</f>
        <v>0</v>
      </c>
      <c r="M127" s="109">
        <f>$G127*'Break-down of IGS and Deprec'!K64</f>
        <v>250</v>
      </c>
      <c r="N127" s="109">
        <f>$G127*'Break-down of IGS and Deprec'!L64</f>
        <v>0</v>
      </c>
      <c r="O127" s="109">
        <f>$G127*'Break-down of IGS and Deprec'!M64</f>
        <v>1350</v>
      </c>
      <c r="P127" s="72"/>
    </row>
    <row r="128" spans="2:19" x14ac:dyDescent="0.2">
      <c r="C128" s="26" t="s">
        <v>74</v>
      </c>
      <c r="G128" s="108">
        <f t="shared" si="29"/>
        <v>9000</v>
      </c>
      <c r="H128" s="109">
        <f>$G128*'Break-down of IGS and Deprec'!F66</f>
        <v>1800</v>
      </c>
      <c r="I128" s="109">
        <f>$G128*'Break-down of IGS and Deprec'!G66</f>
        <v>0</v>
      </c>
      <c r="J128" s="109">
        <f>$G128*'Break-down of IGS and Deprec'!H66</f>
        <v>0</v>
      </c>
      <c r="K128" s="109">
        <f>$G128*'Break-down of IGS and Deprec'!I66</f>
        <v>4320</v>
      </c>
      <c r="L128" s="109">
        <f>$G128*'Break-down of IGS and Deprec'!J66</f>
        <v>0</v>
      </c>
      <c r="M128" s="109">
        <f>$G128*'Break-down of IGS and Deprec'!K66</f>
        <v>450</v>
      </c>
      <c r="N128" s="109">
        <f>$G128*'Break-down of IGS and Deprec'!L66</f>
        <v>0</v>
      </c>
      <c r="O128" s="109">
        <f>$G128*'Break-down of IGS and Deprec'!M66</f>
        <v>2430</v>
      </c>
      <c r="P128" s="72"/>
    </row>
    <row r="129" spans="2:16" x14ac:dyDescent="0.2">
      <c r="C129" s="26" t="s">
        <v>83</v>
      </c>
      <c r="G129" s="108">
        <f t="shared" si="29"/>
        <v>4500</v>
      </c>
      <c r="H129" s="109">
        <f>$G129*'Break-down of IGS and Deprec'!F65</f>
        <v>450</v>
      </c>
      <c r="I129" s="109">
        <f>$G129*'Break-down of IGS and Deprec'!G65</f>
        <v>900</v>
      </c>
      <c r="J129" s="109">
        <f>$G129*'Break-down of IGS and Deprec'!H65</f>
        <v>0</v>
      </c>
      <c r="K129" s="109">
        <f>$G129*'Break-down of IGS and Deprec'!I65</f>
        <v>675</v>
      </c>
      <c r="L129" s="109">
        <f>$G129*'Break-down of IGS and Deprec'!J65</f>
        <v>450</v>
      </c>
      <c r="M129" s="109">
        <f>$G129*'Break-down of IGS and Deprec'!K65</f>
        <v>1125</v>
      </c>
      <c r="N129" s="109">
        <f>$G129*'Break-down of IGS and Deprec'!L65</f>
        <v>0</v>
      </c>
      <c r="O129" s="109">
        <f>$G129*'Break-down of IGS and Deprec'!M65</f>
        <v>900</v>
      </c>
      <c r="P129" s="72"/>
    </row>
    <row r="130" spans="2:16" x14ac:dyDescent="0.2">
      <c r="C130" s="26" t="s">
        <v>99</v>
      </c>
      <c r="G130" s="108">
        <f t="shared" si="29"/>
        <v>0</v>
      </c>
      <c r="H130" s="109">
        <f>$G130*'Break-down of IGS and Deprec'!F67</f>
        <v>0</v>
      </c>
      <c r="I130" s="109">
        <f>$G130*'Break-down of IGS and Deprec'!G67</f>
        <v>0</v>
      </c>
      <c r="J130" s="109">
        <f>$G130*'Break-down of IGS and Deprec'!H67</f>
        <v>0</v>
      </c>
      <c r="K130" s="109">
        <f>$G130*'Break-down of IGS and Deprec'!I67</f>
        <v>0</v>
      </c>
      <c r="L130" s="109">
        <f>$G130*'Break-down of IGS and Deprec'!J67</f>
        <v>0</v>
      </c>
      <c r="M130" s="109">
        <f>$G130*'Break-down of IGS and Deprec'!K67</f>
        <v>0</v>
      </c>
      <c r="N130" s="109">
        <f>$G130*'Break-down of IGS and Deprec'!L67</f>
        <v>0</v>
      </c>
      <c r="O130" s="109">
        <f>$G130*'Break-down of IGS and Deprec'!M67</f>
        <v>0</v>
      </c>
      <c r="P130" s="72"/>
    </row>
    <row r="131" spans="2:16" x14ac:dyDescent="0.2">
      <c r="C131" s="26" t="s">
        <v>100</v>
      </c>
      <c r="G131" s="108">
        <f t="shared" si="29"/>
        <v>21000</v>
      </c>
      <c r="H131" s="109">
        <f>$G131*'Break-down of IGS and Deprec'!F68</f>
        <v>5460</v>
      </c>
      <c r="I131" s="109">
        <f>$G131*'Break-down of IGS and Deprec'!G68</f>
        <v>420</v>
      </c>
      <c r="J131" s="109">
        <f>$G131*'Break-down of IGS and Deprec'!H68</f>
        <v>0</v>
      </c>
      <c r="K131" s="109">
        <f>$G131*'Break-down of IGS and Deprec'!I68</f>
        <v>4620</v>
      </c>
      <c r="L131" s="109">
        <f>$G131*'Break-down of IGS and Deprec'!J68</f>
        <v>1050</v>
      </c>
      <c r="M131" s="109">
        <f>$G131*'Break-down of IGS and Deprec'!K68</f>
        <v>3780</v>
      </c>
      <c r="N131" s="109">
        <f>$G131*'Break-down of IGS and Deprec'!L68</f>
        <v>0</v>
      </c>
      <c r="O131" s="109">
        <f>$G131*'Break-down of IGS and Deprec'!M68</f>
        <v>5670</v>
      </c>
      <c r="P131" s="72"/>
    </row>
    <row r="132" spans="2:16" x14ac:dyDescent="0.2">
      <c r="C132" s="26" t="s">
        <v>101</v>
      </c>
      <c r="G132" s="108">
        <f t="shared" si="29"/>
        <v>18100</v>
      </c>
      <c r="H132" s="109">
        <f>$G132*'Break-down of IGS and Deprec'!F69</f>
        <v>1810</v>
      </c>
      <c r="I132" s="109">
        <f>$G132*'Break-down of IGS and Deprec'!G69</f>
        <v>1810</v>
      </c>
      <c r="J132" s="109">
        <f>$G132*'Break-down of IGS and Deprec'!H69</f>
        <v>0</v>
      </c>
      <c r="K132" s="109">
        <f>$G132*'Break-down of IGS and Deprec'!I69</f>
        <v>7240</v>
      </c>
      <c r="L132" s="109">
        <f>$G132*'Break-down of IGS and Deprec'!J69</f>
        <v>3620</v>
      </c>
      <c r="M132" s="109">
        <f>$G132*'Break-down of IGS and Deprec'!K69</f>
        <v>3620</v>
      </c>
      <c r="N132" s="109">
        <f>$G132*'Break-down of IGS and Deprec'!L69</f>
        <v>0</v>
      </c>
      <c r="O132" s="109">
        <f>$G132*'Break-down of IGS and Deprec'!M69</f>
        <v>0</v>
      </c>
      <c r="P132" s="72"/>
    </row>
    <row r="133" spans="2:16" x14ac:dyDescent="0.2">
      <c r="B133" s="25"/>
      <c r="C133" s="25" t="s">
        <v>27</v>
      </c>
      <c r="D133" s="25"/>
      <c r="E133" s="25"/>
      <c r="F133" s="25"/>
      <c r="G133" s="108">
        <f>SUM(G121:G132)</f>
        <v>74100</v>
      </c>
      <c r="H133" s="108">
        <f t="shared" ref="H133" si="30">SUM(H121:H132)</f>
        <v>16310</v>
      </c>
      <c r="I133" s="108">
        <f t="shared" ref="I133" si="31">SUM(I121:I132)</f>
        <v>4630</v>
      </c>
      <c r="J133" s="108">
        <f t="shared" ref="J133" si="32">SUM(J121:J132)</f>
        <v>0</v>
      </c>
      <c r="K133" s="108">
        <f t="shared" ref="K133" si="33">SUM(K121:K132)</f>
        <v>21280</v>
      </c>
      <c r="L133" s="108">
        <f t="shared" ref="L133" si="34">SUM(L121:L132)</f>
        <v>5870</v>
      </c>
      <c r="M133" s="108">
        <f t="shared" ref="M133" si="35">SUM(M121:M132)</f>
        <v>13260</v>
      </c>
      <c r="N133" s="108">
        <f t="shared" ref="N133" si="36">SUM(N121:N132)</f>
        <v>0</v>
      </c>
      <c r="O133" s="108">
        <f t="shared" ref="O133" si="37">SUM(O121:O132)</f>
        <v>12750</v>
      </c>
      <c r="P133" s="72"/>
    </row>
    <row r="134" spans="2:16" x14ac:dyDescent="0.2">
      <c r="B134" s="25" t="s">
        <v>49</v>
      </c>
      <c r="F134" s="25"/>
      <c r="G134" s="109"/>
      <c r="H134" s="109"/>
      <c r="I134" s="109"/>
      <c r="J134" s="109"/>
      <c r="K134" s="109"/>
      <c r="L134" s="109"/>
      <c r="M134" s="109"/>
      <c r="N134" s="109"/>
      <c r="O134" s="109"/>
      <c r="P134" s="72"/>
    </row>
    <row r="135" spans="2:16" x14ac:dyDescent="0.2">
      <c r="C135" s="26" t="s">
        <v>88</v>
      </c>
      <c r="F135" s="25"/>
      <c r="G135" s="108">
        <f>I49*$N$2</f>
        <v>650</v>
      </c>
      <c r="H135" s="109">
        <f>$G135*'Break-down of IGS and Deprec'!H86</f>
        <v>65</v>
      </c>
      <c r="I135" s="109">
        <f>$G135*'Break-down of IGS and Deprec'!I86</f>
        <v>260</v>
      </c>
      <c r="J135" s="109">
        <f>$G135*'Break-down of IGS and Deprec'!J86</f>
        <v>0</v>
      </c>
      <c r="K135" s="109">
        <f>$G135*'Break-down of IGS and Deprec'!K86</f>
        <v>214.5</v>
      </c>
      <c r="L135" s="109">
        <f>$G135*'Break-down of IGS and Deprec'!L86</f>
        <v>0</v>
      </c>
      <c r="M135" s="109">
        <f>$G135*'Break-down of IGS and Deprec'!M86</f>
        <v>0</v>
      </c>
      <c r="N135" s="109">
        <f>$G135*'Break-down of IGS and Deprec'!N86</f>
        <v>0</v>
      </c>
      <c r="O135" s="109">
        <f>$G135*'Break-down of IGS and Deprec'!O86</f>
        <v>110.49999999999999</v>
      </c>
      <c r="P135" s="72"/>
    </row>
    <row r="136" spans="2:16" x14ac:dyDescent="0.2">
      <c r="C136" s="26" t="s">
        <v>90</v>
      </c>
      <c r="F136" s="25"/>
      <c r="G136" s="108">
        <f>I50*$N$2</f>
        <v>375</v>
      </c>
      <c r="H136" s="109">
        <f>$G136*'Break-down of IGS and Deprec'!H88</f>
        <v>262.5</v>
      </c>
      <c r="I136" s="109">
        <f>$G136*'Break-down of IGS and Deprec'!I88</f>
        <v>18.75</v>
      </c>
      <c r="J136" s="109">
        <f>$G136*'Break-down of IGS and Deprec'!J88</f>
        <v>0</v>
      </c>
      <c r="K136" s="109">
        <f>$G136*'Break-down of IGS and Deprec'!K88</f>
        <v>7.5</v>
      </c>
      <c r="L136" s="109">
        <f>$G136*'Break-down of IGS and Deprec'!L88</f>
        <v>0</v>
      </c>
      <c r="M136" s="109">
        <f>$G136*'Break-down of IGS and Deprec'!M88</f>
        <v>0</v>
      </c>
      <c r="N136" s="109">
        <f>$G136*'Break-down of IGS and Deprec'!N88</f>
        <v>0</v>
      </c>
      <c r="O136" s="109">
        <f>$G136*'Break-down of IGS and Deprec'!O88</f>
        <v>86.250000000000028</v>
      </c>
      <c r="P136" s="72"/>
    </row>
    <row r="137" spans="2:16" x14ac:dyDescent="0.2">
      <c r="C137" s="26" t="s">
        <v>87</v>
      </c>
      <c r="F137" s="25"/>
      <c r="G137" s="108">
        <f>I51*$N$2</f>
        <v>25000</v>
      </c>
      <c r="H137" s="109">
        <f>$G137*'Break-down of IGS and Deprec'!H85</f>
        <v>2500</v>
      </c>
      <c r="I137" s="109">
        <f>$G137*'Break-down of IGS and Deprec'!I85</f>
        <v>10000</v>
      </c>
      <c r="J137" s="109">
        <f>$G137*'Break-down of IGS and Deprec'!J85</f>
        <v>0</v>
      </c>
      <c r="K137" s="109">
        <f>$G137*'Break-down of IGS and Deprec'!K85</f>
        <v>8250</v>
      </c>
      <c r="L137" s="109">
        <f>$G137*'Break-down of IGS and Deprec'!L85</f>
        <v>0</v>
      </c>
      <c r="M137" s="109">
        <f>$G137*'Break-down of IGS and Deprec'!M85</f>
        <v>0</v>
      </c>
      <c r="N137" s="109">
        <f>$G137*'Break-down of IGS and Deprec'!N85</f>
        <v>0</v>
      </c>
      <c r="O137" s="109">
        <f>$G137*'Break-down of IGS and Deprec'!O85</f>
        <v>4250</v>
      </c>
      <c r="P137" s="72"/>
    </row>
    <row r="138" spans="2:16" x14ac:dyDescent="0.2">
      <c r="C138" s="26" t="s">
        <v>175</v>
      </c>
      <c r="F138" s="25"/>
      <c r="G138" s="108">
        <f>I52*$N$2</f>
        <v>200</v>
      </c>
      <c r="H138" s="109">
        <f>$G138*'Break-down of IGS and Deprec'!H89</f>
        <v>100</v>
      </c>
      <c r="I138" s="109">
        <f>$G138*'Break-down of IGS and Deprec'!I89</f>
        <v>40</v>
      </c>
      <c r="J138" s="109">
        <f>$G138*'Break-down of IGS and Deprec'!J89</f>
        <v>0</v>
      </c>
      <c r="K138" s="109">
        <f>$G138*'Break-down of IGS and Deprec'!K89</f>
        <v>20</v>
      </c>
      <c r="L138" s="109">
        <f>$G138*'Break-down of IGS and Deprec'!L89</f>
        <v>0</v>
      </c>
      <c r="M138" s="109">
        <f>$G138*'Break-down of IGS and Deprec'!M89</f>
        <v>0</v>
      </c>
      <c r="N138" s="109">
        <f>$G138*'Break-down of IGS and Deprec'!N89</f>
        <v>0</v>
      </c>
      <c r="O138" s="109">
        <f>$G138*'Break-down of IGS and Deprec'!O89</f>
        <v>40</v>
      </c>
      <c r="P138" s="72"/>
    </row>
    <row r="139" spans="2:16" x14ac:dyDescent="0.2">
      <c r="C139" s="26" t="s">
        <v>26</v>
      </c>
      <c r="F139" s="25"/>
      <c r="G139" s="108">
        <f>I53*$N$2</f>
        <v>0</v>
      </c>
      <c r="H139" s="109"/>
      <c r="I139" s="109"/>
      <c r="J139" s="109"/>
      <c r="K139" s="109"/>
      <c r="L139" s="109"/>
      <c r="M139" s="109"/>
      <c r="N139" s="109"/>
      <c r="O139" s="109"/>
      <c r="P139" s="72"/>
    </row>
    <row r="140" spans="2:16" x14ac:dyDescent="0.2">
      <c r="C140" s="25" t="s">
        <v>52</v>
      </c>
      <c r="F140" s="25"/>
      <c r="G140" s="108">
        <f>SUM(G135:G139)</f>
        <v>26225</v>
      </c>
      <c r="H140" s="108">
        <f t="shared" ref="H140" si="38">SUM(H135:H139)</f>
        <v>2927.5</v>
      </c>
      <c r="I140" s="108">
        <f t="shared" ref="I140" si="39">SUM(I135:I139)</f>
        <v>10318.75</v>
      </c>
      <c r="J140" s="108">
        <f t="shared" ref="J140" si="40">SUM(J135:J139)</f>
        <v>0</v>
      </c>
      <c r="K140" s="108">
        <f t="shared" ref="K140" si="41">SUM(K135:K139)</f>
        <v>8492</v>
      </c>
      <c r="L140" s="108">
        <f t="shared" ref="L140" si="42">SUM(L135:L139)</f>
        <v>0</v>
      </c>
      <c r="M140" s="108">
        <f t="shared" ref="M140" si="43">SUM(M135:M139)</f>
        <v>0</v>
      </c>
      <c r="N140" s="108">
        <f t="shared" ref="N140" si="44">SUM(N135:N139)</f>
        <v>0</v>
      </c>
      <c r="O140" s="108">
        <f t="shared" ref="O140" si="45">SUM(O135:O139)</f>
        <v>4486.75</v>
      </c>
      <c r="P140" s="72"/>
    </row>
    <row r="141" spans="2:16" ht="15" x14ac:dyDescent="0.25">
      <c r="B141" s="25"/>
      <c r="C141" s="25"/>
      <c r="D141" s="25"/>
      <c r="G141" s="109"/>
      <c r="H141" s="111" t="s">
        <v>64</v>
      </c>
      <c r="I141" s="111" t="s">
        <v>64</v>
      </c>
      <c r="J141" s="111"/>
      <c r="K141" s="111"/>
      <c r="L141" s="111"/>
      <c r="M141" s="111"/>
      <c r="N141" s="111"/>
      <c r="O141" s="111"/>
      <c r="P141" s="72"/>
    </row>
    <row r="142" spans="2:16" ht="15" x14ac:dyDescent="0.25">
      <c r="G142" s="109"/>
      <c r="H142" s="111" t="s">
        <v>65</v>
      </c>
      <c r="I142" s="111" t="s">
        <v>66</v>
      </c>
      <c r="J142" s="111" t="s">
        <v>67</v>
      </c>
      <c r="K142" s="111" t="s">
        <v>68</v>
      </c>
      <c r="L142" s="111" t="s">
        <v>45</v>
      </c>
      <c r="M142" s="111" t="s">
        <v>69</v>
      </c>
      <c r="N142" s="111" t="s">
        <v>47</v>
      </c>
      <c r="O142" s="111" t="s">
        <v>70</v>
      </c>
      <c r="P142" s="72"/>
    </row>
    <row r="143" spans="2:16" x14ac:dyDescent="0.2">
      <c r="B143" s="25" t="s">
        <v>295</v>
      </c>
      <c r="C143" s="25"/>
      <c r="D143" s="25"/>
      <c r="E143" s="25"/>
      <c r="F143" s="25"/>
      <c r="G143" s="109" t="s">
        <v>179</v>
      </c>
      <c r="H143" s="113">
        <f>H133+H140</f>
        <v>19237.5</v>
      </c>
      <c r="I143" s="113">
        <f t="shared" ref="I143:O143" si="46">I133+I140</f>
        <v>14948.75</v>
      </c>
      <c r="J143" s="113">
        <f t="shared" si="46"/>
        <v>0</v>
      </c>
      <c r="K143" s="113">
        <f t="shared" si="46"/>
        <v>29772</v>
      </c>
      <c r="L143" s="113">
        <f t="shared" si="46"/>
        <v>5870</v>
      </c>
      <c r="M143" s="113">
        <f t="shared" si="46"/>
        <v>13260</v>
      </c>
      <c r="N143" s="113">
        <f t="shared" si="46"/>
        <v>0</v>
      </c>
      <c r="O143" s="113">
        <f t="shared" si="46"/>
        <v>17236.75</v>
      </c>
      <c r="P143" s="73"/>
    </row>
    <row r="144" spans="2:16" x14ac:dyDescent="0.2">
      <c r="B144" s="25"/>
      <c r="C144" s="25"/>
      <c r="D144" s="25"/>
      <c r="E144" s="25"/>
      <c r="F144" s="25"/>
      <c r="G144" s="109"/>
      <c r="H144" s="110"/>
      <c r="I144" s="110"/>
      <c r="J144" s="110"/>
      <c r="K144" s="110"/>
      <c r="L144" s="110"/>
      <c r="M144" s="110"/>
      <c r="N144" s="110"/>
      <c r="O144" s="110"/>
      <c r="P144" s="72"/>
    </row>
    <row r="145" spans="2:18" ht="15" x14ac:dyDescent="0.25">
      <c r="B145" s="25"/>
      <c r="C145" s="25"/>
      <c r="D145" s="25"/>
      <c r="E145" s="25"/>
      <c r="F145" s="25"/>
      <c r="G145" s="109"/>
      <c r="H145" s="111" t="s">
        <v>64</v>
      </c>
      <c r="I145" s="111" t="s">
        <v>64</v>
      </c>
      <c r="J145" s="111"/>
      <c r="K145" s="111"/>
      <c r="L145" s="111"/>
      <c r="M145" s="111"/>
      <c r="N145" s="111"/>
      <c r="O145" s="111"/>
    </row>
    <row r="146" spans="2:18" ht="15" x14ac:dyDescent="0.25">
      <c r="G146" s="109"/>
      <c r="H146" s="111" t="s">
        <v>65</v>
      </c>
      <c r="I146" s="111" t="s">
        <v>66</v>
      </c>
      <c r="J146" s="111" t="s">
        <v>67</v>
      </c>
      <c r="K146" s="112" t="s">
        <v>68</v>
      </c>
      <c r="L146" s="112" t="s">
        <v>45</v>
      </c>
      <c r="M146" s="112" t="s">
        <v>69</v>
      </c>
      <c r="N146" s="112" t="s">
        <v>47</v>
      </c>
      <c r="O146" s="112" t="s">
        <v>138</v>
      </c>
    </row>
    <row r="147" spans="2:18" x14ac:dyDescent="0.2">
      <c r="B147" s="25" t="s">
        <v>296</v>
      </c>
      <c r="C147" s="25"/>
      <c r="D147" s="25"/>
      <c r="E147" s="25"/>
      <c r="F147" s="25"/>
      <c r="G147" s="109" t="s">
        <v>179</v>
      </c>
      <c r="H147" s="113">
        <f>H143</f>
        <v>19237.5</v>
      </c>
      <c r="I147" s="113">
        <f>I143</f>
        <v>14948.75</v>
      </c>
      <c r="J147" s="116">
        <f>J143+(I30*N2)</f>
        <v>0</v>
      </c>
      <c r="K147" s="116">
        <f>K143+(I43*N2)</f>
        <v>94272</v>
      </c>
      <c r="L147" s="116">
        <f>L143+(I44*N2)</f>
        <v>5870</v>
      </c>
      <c r="M147" s="116">
        <f>M143+(I45*N2)</f>
        <v>43260</v>
      </c>
      <c r="N147" s="116">
        <f>N143+(I46*N2)</f>
        <v>0</v>
      </c>
      <c r="O147" s="116">
        <f>O143+(I55*N2)</f>
        <v>112411.75</v>
      </c>
      <c r="P147" s="73"/>
      <c r="Q147" s="73"/>
      <c r="R147" s="73"/>
    </row>
    <row r="148" spans="2:18" x14ac:dyDescent="0.2">
      <c r="G148" s="109"/>
      <c r="H148" s="109"/>
      <c r="I148" s="109"/>
      <c r="J148" s="109"/>
      <c r="K148" s="109"/>
      <c r="L148" s="109"/>
      <c r="M148" s="109"/>
      <c r="N148" s="109"/>
      <c r="O148" s="109"/>
      <c r="P148" s="72"/>
    </row>
    <row r="149" spans="2:18" ht="15" x14ac:dyDescent="0.25">
      <c r="B149" s="77" t="str">
        <f>J4</f>
        <v>Option 4</v>
      </c>
      <c r="C149" s="78" t="str">
        <f>J5</f>
        <v>Achievable</v>
      </c>
      <c r="D149" s="78" t="str">
        <f>J6</f>
        <v>facility</v>
      </c>
      <c r="E149" s="79" t="str">
        <f>J7</f>
        <v>Medium</v>
      </c>
      <c r="F149" s="25" t="s">
        <v>176</v>
      </c>
      <c r="G149" s="109"/>
      <c r="H149" s="114" t="s">
        <v>64</v>
      </c>
      <c r="I149" s="114" t="s">
        <v>64</v>
      </c>
      <c r="J149" s="114"/>
      <c r="K149" s="114"/>
      <c r="L149" s="114"/>
      <c r="M149" s="114"/>
      <c r="N149" s="114"/>
      <c r="O149" s="114"/>
      <c r="P149" s="72"/>
    </row>
    <row r="150" spans="2:18" ht="15" x14ac:dyDescent="0.25">
      <c r="B150" s="25" t="s">
        <v>97</v>
      </c>
      <c r="G150" s="109" t="s">
        <v>133</v>
      </c>
      <c r="H150" s="114" t="s">
        <v>65</v>
      </c>
      <c r="I150" s="114" t="s">
        <v>66</v>
      </c>
      <c r="J150" s="114" t="s">
        <v>67</v>
      </c>
      <c r="K150" s="114" t="s">
        <v>68</v>
      </c>
      <c r="L150" s="114" t="s">
        <v>45</v>
      </c>
      <c r="M150" s="114" t="s">
        <v>69</v>
      </c>
      <c r="N150" s="114" t="s">
        <v>47</v>
      </c>
      <c r="O150" s="114" t="s">
        <v>70</v>
      </c>
      <c r="P150" s="72"/>
    </row>
    <row r="151" spans="2:18" x14ac:dyDescent="0.2">
      <c r="C151" s="26" t="s">
        <v>76</v>
      </c>
      <c r="G151" s="108"/>
      <c r="H151" s="109"/>
      <c r="I151" s="109"/>
      <c r="J151" s="110" t="s">
        <v>178</v>
      </c>
      <c r="K151" s="109"/>
      <c r="L151" s="109"/>
      <c r="M151" s="109"/>
      <c r="N151" s="109"/>
      <c r="O151" s="109"/>
      <c r="P151" s="72"/>
    </row>
    <row r="152" spans="2:18" x14ac:dyDescent="0.2">
      <c r="C152" s="26" t="s">
        <v>77</v>
      </c>
      <c r="G152" s="108">
        <f t="shared" ref="G152:G162" si="47">J17*$N$2</f>
        <v>0</v>
      </c>
      <c r="H152" s="109">
        <f>$G152*'Break-down of IGS and Deprec'!F59</f>
        <v>0</v>
      </c>
      <c r="I152" s="109">
        <f>$G152*'Break-down of IGS and Deprec'!G59</f>
        <v>0</v>
      </c>
      <c r="J152" s="109">
        <f>$G152*'Break-down of IGS and Deprec'!H59</f>
        <v>0</v>
      </c>
      <c r="K152" s="109">
        <f>$G152*'Break-down of IGS and Deprec'!I59</f>
        <v>0</v>
      </c>
      <c r="L152" s="109">
        <f>$G152*'Break-down of IGS and Deprec'!J59</f>
        <v>0</v>
      </c>
      <c r="M152" s="109">
        <f>$G152*'Break-down of IGS and Deprec'!K59</f>
        <v>0</v>
      </c>
      <c r="N152" s="109">
        <f>$G152*'Break-down of IGS and Deprec'!L59</f>
        <v>0</v>
      </c>
      <c r="O152" s="109">
        <f>$G152*'Break-down of IGS and Deprec'!M59</f>
        <v>0</v>
      </c>
      <c r="P152" s="72"/>
    </row>
    <row r="153" spans="2:18" x14ac:dyDescent="0.2">
      <c r="C153" s="26" t="s">
        <v>98</v>
      </c>
      <c r="G153" s="108">
        <f t="shared" si="47"/>
        <v>0</v>
      </c>
      <c r="H153" s="109">
        <f>$G153*'Break-down of IGS and Deprec'!F60</f>
        <v>0</v>
      </c>
      <c r="I153" s="109">
        <f>$G153*'Break-down of IGS and Deprec'!G60</f>
        <v>0</v>
      </c>
      <c r="J153" s="109">
        <f>$G153*'Break-down of IGS and Deprec'!H60</f>
        <v>0</v>
      </c>
      <c r="K153" s="109">
        <f>$G153*'Break-down of IGS and Deprec'!I60</f>
        <v>0</v>
      </c>
      <c r="L153" s="109">
        <f>$G153*'Break-down of IGS and Deprec'!J60</f>
        <v>0</v>
      </c>
      <c r="M153" s="109">
        <f>$G153*'Break-down of IGS and Deprec'!K60</f>
        <v>0</v>
      </c>
      <c r="N153" s="109">
        <f>$G153*'Break-down of IGS and Deprec'!L60</f>
        <v>0</v>
      </c>
      <c r="O153" s="109">
        <f>$G153*'Break-down of IGS and Deprec'!M60</f>
        <v>0</v>
      </c>
      <c r="P153" s="72"/>
    </row>
    <row r="154" spans="2:18" x14ac:dyDescent="0.2">
      <c r="C154" s="26" t="s">
        <v>79</v>
      </c>
      <c r="G154" s="108">
        <f t="shared" si="47"/>
        <v>12000</v>
      </c>
      <c r="H154" s="109">
        <f>$G154*'Break-down of IGS and Deprec'!F61</f>
        <v>6720.0000000000009</v>
      </c>
      <c r="I154" s="109">
        <f>$G154*'Break-down of IGS and Deprec'!G61</f>
        <v>0</v>
      </c>
      <c r="J154" s="109">
        <f>$G154*'Break-down of IGS and Deprec'!H61</f>
        <v>0</v>
      </c>
      <c r="K154" s="109">
        <f>$G154*'Break-down of IGS and Deprec'!I61</f>
        <v>1200</v>
      </c>
      <c r="L154" s="109">
        <f>$G154*'Break-down of IGS and Deprec'!J61</f>
        <v>0</v>
      </c>
      <c r="M154" s="109">
        <f>$G154*'Break-down of IGS and Deprec'!K61</f>
        <v>2880</v>
      </c>
      <c r="N154" s="109">
        <f>$G154*'Break-down of IGS and Deprec'!L61</f>
        <v>0</v>
      </c>
      <c r="O154" s="109">
        <f>$G154*'Break-down of IGS and Deprec'!M61</f>
        <v>1200</v>
      </c>
      <c r="P154" s="72"/>
    </row>
    <row r="155" spans="2:18" x14ac:dyDescent="0.2">
      <c r="C155" s="26" t="s">
        <v>80</v>
      </c>
      <c r="G155" s="108">
        <f t="shared" si="47"/>
        <v>0</v>
      </c>
      <c r="H155" s="109">
        <f>$G155*'Break-down of IGS and Deprec'!F62</f>
        <v>0</v>
      </c>
      <c r="I155" s="109">
        <f>$G155*'Break-down of IGS and Deprec'!G62</f>
        <v>0</v>
      </c>
      <c r="J155" s="109">
        <f>$G155*'Break-down of IGS and Deprec'!H62</f>
        <v>0</v>
      </c>
      <c r="K155" s="109">
        <f>$G155*'Break-down of IGS and Deprec'!I62</f>
        <v>0</v>
      </c>
      <c r="L155" s="109">
        <f>$G155*'Break-down of IGS and Deprec'!J62</f>
        <v>0</v>
      </c>
      <c r="M155" s="109">
        <f>$G155*'Break-down of IGS and Deprec'!K62</f>
        <v>0</v>
      </c>
      <c r="N155" s="109">
        <f>$G155*'Break-down of IGS and Deprec'!L62</f>
        <v>0</v>
      </c>
      <c r="O155" s="109">
        <f>$G155*'Break-down of IGS and Deprec'!M62</f>
        <v>0</v>
      </c>
      <c r="P155" s="72"/>
    </row>
    <row r="156" spans="2:18" x14ac:dyDescent="0.2">
      <c r="C156" s="26" t="s">
        <v>81</v>
      </c>
      <c r="G156" s="108">
        <f t="shared" si="47"/>
        <v>9000</v>
      </c>
      <c r="H156" s="109">
        <f>$G156*'Break-down of IGS and Deprec'!F63</f>
        <v>900</v>
      </c>
      <c r="I156" s="109">
        <f>$G156*'Break-down of IGS and Deprec'!G63</f>
        <v>1800</v>
      </c>
      <c r="J156" s="109">
        <f>$G156*'Break-down of IGS and Deprec'!H63</f>
        <v>0</v>
      </c>
      <c r="K156" s="109">
        <f>$G156*'Break-down of IGS and Deprec'!I63</f>
        <v>1350</v>
      </c>
      <c r="L156" s="109">
        <f>$G156*'Break-down of IGS and Deprec'!J63</f>
        <v>900</v>
      </c>
      <c r="M156" s="109">
        <f>$G156*'Break-down of IGS and Deprec'!K63</f>
        <v>2250</v>
      </c>
      <c r="N156" s="109">
        <f>$G156*'Break-down of IGS and Deprec'!L63</f>
        <v>0</v>
      </c>
      <c r="O156" s="109">
        <f>$G156*'Break-down of IGS and Deprec'!M63</f>
        <v>1800</v>
      </c>
      <c r="P156" s="72"/>
    </row>
    <row r="157" spans="2:18" x14ac:dyDescent="0.2">
      <c r="C157" s="26" t="s">
        <v>82</v>
      </c>
      <c r="G157" s="108">
        <f t="shared" si="47"/>
        <v>6250</v>
      </c>
      <c r="H157" s="109">
        <f>$G157*'Break-down of IGS and Deprec'!F64</f>
        <v>1250</v>
      </c>
      <c r="I157" s="109">
        <f>$G157*'Break-down of IGS and Deprec'!G64</f>
        <v>0</v>
      </c>
      <c r="J157" s="109">
        <f>$G157*'Break-down of IGS and Deprec'!H64</f>
        <v>0</v>
      </c>
      <c r="K157" s="109">
        <f>$G157*'Break-down of IGS and Deprec'!I64</f>
        <v>3000</v>
      </c>
      <c r="L157" s="109">
        <f>$G157*'Break-down of IGS and Deprec'!J64</f>
        <v>0</v>
      </c>
      <c r="M157" s="109">
        <f>$G157*'Break-down of IGS and Deprec'!K64</f>
        <v>312.5</v>
      </c>
      <c r="N157" s="109">
        <f>$G157*'Break-down of IGS and Deprec'!L64</f>
        <v>0</v>
      </c>
      <c r="O157" s="109">
        <f>$G157*'Break-down of IGS and Deprec'!M64</f>
        <v>1687.5</v>
      </c>
      <c r="P157" s="72"/>
    </row>
    <row r="158" spans="2:18" x14ac:dyDescent="0.2">
      <c r="C158" s="26" t="s">
        <v>74</v>
      </c>
      <c r="G158" s="108">
        <f t="shared" si="47"/>
        <v>12000</v>
      </c>
      <c r="H158" s="109">
        <f>$G158*'Break-down of IGS and Deprec'!F66</f>
        <v>2400</v>
      </c>
      <c r="I158" s="109">
        <f>$G158*'Break-down of IGS and Deprec'!G66</f>
        <v>0</v>
      </c>
      <c r="J158" s="109">
        <f>$G158*'Break-down of IGS and Deprec'!H66</f>
        <v>0</v>
      </c>
      <c r="K158" s="109">
        <f>$G158*'Break-down of IGS and Deprec'!I66</f>
        <v>5760</v>
      </c>
      <c r="L158" s="109">
        <f>$G158*'Break-down of IGS and Deprec'!J66</f>
        <v>0</v>
      </c>
      <c r="M158" s="109">
        <f>$G158*'Break-down of IGS and Deprec'!K66</f>
        <v>600</v>
      </c>
      <c r="N158" s="109">
        <f>$G158*'Break-down of IGS and Deprec'!L66</f>
        <v>0</v>
      </c>
      <c r="O158" s="109">
        <f>$G158*'Break-down of IGS and Deprec'!M66</f>
        <v>3240</v>
      </c>
      <c r="P158" s="72"/>
    </row>
    <row r="159" spans="2:18" x14ac:dyDescent="0.2">
      <c r="C159" s="26" t="s">
        <v>83</v>
      </c>
      <c r="G159" s="108">
        <f t="shared" si="47"/>
        <v>7500</v>
      </c>
      <c r="H159" s="109">
        <f>$G159*'Break-down of IGS and Deprec'!F65</f>
        <v>750</v>
      </c>
      <c r="I159" s="109">
        <f>$G159*'Break-down of IGS and Deprec'!G65</f>
        <v>1500</v>
      </c>
      <c r="J159" s="109">
        <f>$G159*'Break-down of IGS and Deprec'!H65</f>
        <v>0</v>
      </c>
      <c r="K159" s="109">
        <f>$G159*'Break-down of IGS and Deprec'!I65</f>
        <v>1125</v>
      </c>
      <c r="L159" s="109">
        <f>$G159*'Break-down of IGS and Deprec'!J65</f>
        <v>750</v>
      </c>
      <c r="M159" s="109">
        <f>$G159*'Break-down of IGS and Deprec'!K65</f>
        <v>1875</v>
      </c>
      <c r="N159" s="109">
        <f>$G159*'Break-down of IGS and Deprec'!L65</f>
        <v>0</v>
      </c>
      <c r="O159" s="109">
        <f>$G159*'Break-down of IGS and Deprec'!M65</f>
        <v>1500</v>
      </c>
      <c r="P159" s="72"/>
    </row>
    <row r="160" spans="2:18" x14ac:dyDescent="0.2">
      <c r="C160" s="26" t="s">
        <v>99</v>
      </c>
      <c r="G160" s="108">
        <f t="shared" si="47"/>
        <v>0</v>
      </c>
      <c r="H160" s="109">
        <f>$G160*'Break-down of IGS and Deprec'!F67</f>
        <v>0</v>
      </c>
      <c r="I160" s="109">
        <f>$G160*'Break-down of IGS and Deprec'!G67</f>
        <v>0</v>
      </c>
      <c r="J160" s="109">
        <f>$G160*'Break-down of IGS and Deprec'!H67</f>
        <v>0</v>
      </c>
      <c r="K160" s="109">
        <f>$G160*'Break-down of IGS and Deprec'!I67</f>
        <v>0</v>
      </c>
      <c r="L160" s="109">
        <f>$G160*'Break-down of IGS and Deprec'!J67</f>
        <v>0</v>
      </c>
      <c r="M160" s="109">
        <f>$G160*'Break-down of IGS and Deprec'!K67</f>
        <v>0</v>
      </c>
      <c r="N160" s="109">
        <f>$G160*'Break-down of IGS and Deprec'!L67</f>
        <v>0</v>
      </c>
      <c r="O160" s="109">
        <f>$G160*'Break-down of IGS and Deprec'!M67</f>
        <v>0</v>
      </c>
      <c r="P160" s="72"/>
    </row>
    <row r="161" spans="2:16" x14ac:dyDescent="0.2">
      <c r="C161" s="26" t="s">
        <v>100</v>
      </c>
      <c r="G161" s="108">
        <f t="shared" si="47"/>
        <v>21000</v>
      </c>
      <c r="H161" s="109">
        <f>$G161*'Break-down of IGS and Deprec'!F68</f>
        <v>5460</v>
      </c>
      <c r="I161" s="109">
        <f>$G161*'Break-down of IGS and Deprec'!G68</f>
        <v>420</v>
      </c>
      <c r="J161" s="109">
        <f>$G161*'Break-down of IGS and Deprec'!H68</f>
        <v>0</v>
      </c>
      <c r="K161" s="109">
        <f>$G161*'Break-down of IGS and Deprec'!I68</f>
        <v>4620</v>
      </c>
      <c r="L161" s="109">
        <f>$G161*'Break-down of IGS and Deprec'!J68</f>
        <v>1050</v>
      </c>
      <c r="M161" s="109">
        <f>$G161*'Break-down of IGS and Deprec'!K68</f>
        <v>3780</v>
      </c>
      <c r="N161" s="109">
        <f>$G161*'Break-down of IGS and Deprec'!L68</f>
        <v>0</v>
      </c>
      <c r="O161" s="109">
        <f>$G161*'Break-down of IGS and Deprec'!M68</f>
        <v>5670</v>
      </c>
      <c r="P161" s="72"/>
    </row>
    <row r="162" spans="2:16" x14ac:dyDescent="0.2">
      <c r="C162" s="26" t="s">
        <v>101</v>
      </c>
      <c r="G162" s="108">
        <f t="shared" si="47"/>
        <v>22500</v>
      </c>
      <c r="H162" s="109">
        <f>$G162*'Break-down of IGS and Deprec'!F69</f>
        <v>2250</v>
      </c>
      <c r="I162" s="109">
        <f>$G162*'Break-down of IGS and Deprec'!G69</f>
        <v>2250</v>
      </c>
      <c r="J162" s="109">
        <f>$G162*'Break-down of IGS and Deprec'!H69</f>
        <v>0</v>
      </c>
      <c r="K162" s="109">
        <f>$G162*'Break-down of IGS and Deprec'!I69</f>
        <v>9000</v>
      </c>
      <c r="L162" s="109">
        <f>$G162*'Break-down of IGS and Deprec'!J69</f>
        <v>4500</v>
      </c>
      <c r="M162" s="109">
        <f>$G162*'Break-down of IGS and Deprec'!K69</f>
        <v>4500</v>
      </c>
      <c r="N162" s="109">
        <f>$G162*'Break-down of IGS and Deprec'!L69</f>
        <v>0</v>
      </c>
      <c r="O162" s="109">
        <f>$G162*'Break-down of IGS and Deprec'!M69</f>
        <v>0</v>
      </c>
      <c r="P162" s="72"/>
    </row>
    <row r="163" spans="2:16" x14ac:dyDescent="0.2">
      <c r="B163" s="25"/>
      <c r="C163" s="25" t="s">
        <v>27</v>
      </c>
      <c r="D163" s="25"/>
      <c r="E163" s="25"/>
      <c r="F163" s="25"/>
      <c r="G163" s="108">
        <f>SUM(G151:G162)</f>
        <v>90250</v>
      </c>
      <c r="H163" s="108">
        <f t="shared" ref="H163" si="48">SUM(H151:H162)</f>
        <v>19730</v>
      </c>
      <c r="I163" s="108">
        <f t="shared" ref="I163" si="49">SUM(I151:I162)</f>
        <v>5970</v>
      </c>
      <c r="J163" s="108">
        <f t="shared" ref="J163" si="50">SUM(J151:J162)</f>
        <v>0</v>
      </c>
      <c r="K163" s="108">
        <f t="shared" ref="K163" si="51">SUM(K151:K162)</f>
        <v>26055</v>
      </c>
      <c r="L163" s="108">
        <f t="shared" ref="L163" si="52">SUM(L151:L162)</f>
        <v>7200</v>
      </c>
      <c r="M163" s="108">
        <f t="shared" ref="M163" si="53">SUM(M151:M162)</f>
        <v>16197.5</v>
      </c>
      <c r="N163" s="108">
        <f t="shared" ref="N163" si="54">SUM(N151:N162)</f>
        <v>0</v>
      </c>
      <c r="O163" s="108">
        <f t="shared" ref="O163" si="55">SUM(O151:O162)</f>
        <v>15097.5</v>
      </c>
      <c r="P163" s="72"/>
    </row>
    <row r="164" spans="2:16" x14ac:dyDescent="0.2">
      <c r="B164" s="25" t="s">
        <v>49</v>
      </c>
      <c r="F164" s="25"/>
      <c r="G164" s="109"/>
      <c r="H164" s="109"/>
      <c r="I164" s="109"/>
      <c r="J164" s="109"/>
      <c r="K164" s="109"/>
      <c r="L164" s="109"/>
      <c r="M164" s="109"/>
      <c r="N164" s="109"/>
      <c r="O164" s="109"/>
      <c r="P164" s="72"/>
    </row>
    <row r="165" spans="2:16" x14ac:dyDescent="0.2">
      <c r="C165" s="26" t="s">
        <v>88</v>
      </c>
      <c r="F165" s="25"/>
      <c r="G165" s="108">
        <f>J49*$N$2</f>
        <v>650</v>
      </c>
      <c r="H165" s="109">
        <f>$G165*'Break-down of IGS and Deprec'!H86</f>
        <v>65</v>
      </c>
      <c r="I165" s="109">
        <f>$G165*'Break-down of IGS and Deprec'!I86</f>
        <v>260</v>
      </c>
      <c r="J165" s="109">
        <f>$G165*'Break-down of IGS and Deprec'!J86</f>
        <v>0</v>
      </c>
      <c r="K165" s="109">
        <f>$G165*'Break-down of IGS and Deprec'!K86</f>
        <v>214.5</v>
      </c>
      <c r="L165" s="109">
        <f>$G165*'Break-down of IGS and Deprec'!L86</f>
        <v>0</v>
      </c>
      <c r="M165" s="109">
        <f>$G165*'Break-down of IGS and Deprec'!M86</f>
        <v>0</v>
      </c>
      <c r="N165" s="109">
        <f>$G165*'Break-down of IGS and Deprec'!N86</f>
        <v>0</v>
      </c>
      <c r="O165" s="109">
        <f>$G165*'Break-down of IGS and Deprec'!O86</f>
        <v>110.49999999999999</v>
      </c>
      <c r="P165" s="72"/>
    </row>
    <row r="166" spans="2:16" x14ac:dyDescent="0.2">
      <c r="C166" s="26" t="s">
        <v>90</v>
      </c>
      <c r="F166" s="25"/>
      <c r="G166" s="108">
        <f>J50*$N$2</f>
        <v>375</v>
      </c>
      <c r="H166" s="109">
        <f>$G166*'Break-down of IGS and Deprec'!H88</f>
        <v>262.5</v>
      </c>
      <c r="I166" s="109">
        <f>$G166*'Break-down of IGS and Deprec'!I88</f>
        <v>18.75</v>
      </c>
      <c r="J166" s="109">
        <f>$G166*'Break-down of IGS and Deprec'!J88</f>
        <v>0</v>
      </c>
      <c r="K166" s="109">
        <f>$G166*'Break-down of IGS and Deprec'!K88</f>
        <v>7.5</v>
      </c>
      <c r="L166" s="109">
        <f>$G166*'Break-down of IGS and Deprec'!L88</f>
        <v>0</v>
      </c>
      <c r="M166" s="109">
        <f>$G166*'Break-down of IGS and Deprec'!M88</f>
        <v>0</v>
      </c>
      <c r="N166" s="109">
        <f>$G166*'Break-down of IGS and Deprec'!N88</f>
        <v>0</v>
      </c>
      <c r="O166" s="109">
        <f>$G166*'Break-down of IGS and Deprec'!O88</f>
        <v>86.250000000000028</v>
      </c>
      <c r="P166" s="72"/>
    </row>
    <row r="167" spans="2:16" x14ac:dyDescent="0.2">
      <c r="C167" s="26" t="s">
        <v>87</v>
      </c>
      <c r="F167" s="25"/>
      <c r="G167" s="108">
        <f>J51*$N$2</f>
        <v>25000</v>
      </c>
      <c r="H167" s="109">
        <f>$G167*'Break-down of IGS and Deprec'!H85</f>
        <v>2500</v>
      </c>
      <c r="I167" s="109">
        <f>$G167*'Break-down of IGS and Deprec'!I85</f>
        <v>10000</v>
      </c>
      <c r="J167" s="109">
        <f>$G167*'Break-down of IGS and Deprec'!J85</f>
        <v>0</v>
      </c>
      <c r="K167" s="109">
        <f>$G167*'Break-down of IGS and Deprec'!K85</f>
        <v>8250</v>
      </c>
      <c r="L167" s="109">
        <f>$G167*'Break-down of IGS and Deprec'!L85</f>
        <v>0</v>
      </c>
      <c r="M167" s="109">
        <f>$G167*'Break-down of IGS and Deprec'!M85</f>
        <v>0</v>
      </c>
      <c r="N167" s="109">
        <f>$G167*'Break-down of IGS and Deprec'!N85</f>
        <v>0</v>
      </c>
      <c r="O167" s="109">
        <f>$G167*'Break-down of IGS and Deprec'!O85</f>
        <v>4250</v>
      </c>
      <c r="P167" s="72"/>
    </row>
    <row r="168" spans="2:16" x14ac:dyDescent="0.2">
      <c r="C168" s="26" t="s">
        <v>175</v>
      </c>
      <c r="F168" s="25"/>
      <c r="G168" s="108">
        <f>J52*$N$2</f>
        <v>200</v>
      </c>
      <c r="H168" s="109">
        <f>$G168*'Break-down of IGS and Deprec'!H89</f>
        <v>100</v>
      </c>
      <c r="I168" s="109">
        <f>$G168*'Break-down of IGS and Deprec'!I89</f>
        <v>40</v>
      </c>
      <c r="J168" s="109">
        <f>$G168*'Break-down of IGS and Deprec'!J89</f>
        <v>0</v>
      </c>
      <c r="K168" s="109">
        <f>$G168*'Break-down of IGS and Deprec'!K89</f>
        <v>20</v>
      </c>
      <c r="L168" s="109">
        <f>$G168*'Break-down of IGS and Deprec'!L89</f>
        <v>0</v>
      </c>
      <c r="M168" s="109">
        <f>$G168*'Break-down of IGS and Deprec'!M89</f>
        <v>0</v>
      </c>
      <c r="N168" s="109">
        <f>$G168*'Break-down of IGS and Deprec'!N89</f>
        <v>0</v>
      </c>
      <c r="O168" s="109">
        <f>$G168*'Break-down of IGS and Deprec'!O89</f>
        <v>40</v>
      </c>
      <c r="P168" s="72"/>
    </row>
    <row r="169" spans="2:16" x14ac:dyDescent="0.2">
      <c r="C169" s="26" t="s">
        <v>26</v>
      </c>
      <c r="F169" s="25"/>
      <c r="G169" s="108">
        <f>J53*$N$2</f>
        <v>0</v>
      </c>
      <c r="H169" s="109"/>
      <c r="I169" s="109"/>
      <c r="J169" s="109"/>
      <c r="K169" s="109"/>
      <c r="L169" s="109"/>
      <c r="M169" s="109"/>
      <c r="N169" s="109"/>
      <c r="O169" s="109"/>
      <c r="P169" s="72"/>
    </row>
    <row r="170" spans="2:16" x14ac:dyDescent="0.2">
      <c r="C170" s="25" t="s">
        <v>52</v>
      </c>
      <c r="F170" s="25"/>
      <c r="G170" s="108">
        <f>SUM(G165:G169)</f>
        <v>26225</v>
      </c>
      <c r="H170" s="108">
        <f t="shared" ref="H170" si="56">SUM(H165:H169)</f>
        <v>2927.5</v>
      </c>
      <c r="I170" s="108">
        <f t="shared" ref="I170" si="57">SUM(I165:I169)</f>
        <v>10318.75</v>
      </c>
      <c r="J170" s="108">
        <f t="shared" ref="J170" si="58">SUM(J165:J169)</f>
        <v>0</v>
      </c>
      <c r="K170" s="108">
        <f t="shared" ref="K170" si="59">SUM(K165:K169)</f>
        <v>8492</v>
      </c>
      <c r="L170" s="108">
        <f t="shared" ref="L170" si="60">SUM(L165:L169)</f>
        <v>0</v>
      </c>
      <c r="M170" s="108">
        <f t="shared" ref="M170" si="61">SUM(M165:M169)</f>
        <v>0</v>
      </c>
      <c r="N170" s="108">
        <f t="shared" ref="N170" si="62">SUM(N165:N169)</f>
        <v>0</v>
      </c>
      <c r="O170" s="108">
        <f t="shared" ref="O170" si="63">SUM(O165:O169)</f>
        <v>4486.75</v>
      </c>
      <c r="P170" s="72"/>
    </row>
    <row r="171" spans="2:16" ht="15" x14ac:dyDescent="0.25">
      <c r="B171" s="25"/>
      <c r="C171" s="25"/>
      <c r="D171" s="25"/>
      <c r="G171" s="109"/>
      <c r="H171" s="111" t="s">
        <v>64</v>
      </c>
      <c r="I171" s="111" t="s">
        <v>64</v>
      </c>
      <c r="J171" s="111"/>
      <c r="K171" s="111"/>
      <c r="L171" s="111"/>
      <c r="M171" s="111"/>
      <c r="N171" s="111"/>
      <c r="O171" s="111"/>
      <c r="P171" s="72"/>
    </row>
    <row r="172" spans="2:16" ht="15" x14ac:dyDescent="0.25">
      <c r="G172" s="109"/>
      <c r="H172" s="111" t="s">
        <v>65</v>
      </c>
      <c r="I172" s="111" t="s">
        <v>66</v>
      </c>
      <c r="J172" s="112" t="s">
        <v>67</v>
      </c>
      <c r="K172" s="112" t="s">
        <v>68</v>
      </c>
      <c r="L172" s="112" t="s">
        <v>45</v>
      </c>
      <c r="M172" s="112" t="s">
        <v>69</v>
      </c>
      <c r="N172" s="112" t="s">
        <v>47</v>
      </c>
      <c r="O172" s="112" t="s">
        <v>70</v>
      </c>
      <c r="P172" s="75"/>
    </row>
    <row r="173" spans="2:16" x14ac:dyDescent="0.2">
      <c r="B173" s="25" t="s">
        <v>293</v>
      </c>
      <c r="C173" s="25"/>
      <c r="D173" s="25"/>
      <c r="E173" s="25"/>
      <c r="F173" s="25"/>
      <c r="G173" s="109" t="s">
        <v>179</v>
      </c>
      <c r="H173" s="113">
        <f>H163+H170</f>
        <v>22657.5</v>
      </c>
      <c r="I173" s="113">
        <f t="shared" ref="I173:O173" si="64">I163+I170</f>
        <v>16288.75</v>
      </c>
      <c r="J173" s="113">
        <f t="shared" si="64"/>
        <v>0</v>
      </c>
      <c r="K173" s="113">
        <f t="shared" si="64"/>
        <v>34547</v>
      </c>
      <c r="L173" s="113">
        <f t="shared" si="64"/>
        <v>7200</v>
      </c>
      <c r="M173" s="113">
        <f t="shared" si="64"/>
        <v>16197.5</v>
      </c>
      <c r="N173" s="113">
        <f t="shared" si="64"/>
        <v>0</v>
      </c>
      <c r="O173" s="113">
        <f t="shared" si="64"/>
        <v>19584.25</v>
      </c>
      <c r="P173" s="73"/>
    </row>
    <row r="174" spans="2:16" x14ac:dyDescent="0.2">
      <c r="B174" s="25"/>
      <c r="C174" s="25"/>
      <c r="D174" s="25"/>
      <c r="E174" s="25"/>
      <c r="F174" s="25"/>
      <c r="G174" s="109"/>
      <c r="H174" s="110"/>
      <c r="I174" s="110"/>
      <c r="J174" s="110"/>
      <c r="K174" s="110"/>
      <c r="L174" s="110"/>
      <c r="M174" s="110"/>
      <c r="N174" s="110"/>
      <c r="O174" s="110"/>
      <c r="P174" s="73"/>
    </row>
    <row r="175" spans="2:16" ht="15" x14ac:dyDescent="0.25">
      <c r="B175" s="25"/>
      <c r="C175" s="25"/>
      <c r="D175" s="25"/>
      <c r="E175" s="25"/>
      <c r="F175" s="25"/>
      <c r="G175" s="109"/>
      <c r="H175" s="111" t="s">
        <v>64</v>
      </c>
      <c r="I175" s="111" t="s">
        <v>64</v>
      </c>
      <c r="J175" s="111"/>
      <c r="K175" s="111"/>
      <c r="L175" s="111"/>
      <c r="M175" s="111"/>
      <c r="N175" s="111"/>
      <c r="O175" s="111"/>
      <c r="P175" s="73"/>
    </row>
    <row r="176" spans="2:16" ht="15" x14ac:dyDescent="0.25">
      <c r="G176" s="109"/>
      <c r="H176" s="111" t="s">
        <v>65</v>
      </c>
      <c r="I176" s="111" t="s">
        <v>66</v>
      </c>
      <c r="J176" s="112" t="s">
        <v>67</v>
      </c>
      <c r="K176" s="112" t="s">
        <v>68</v>
      </c>
      <c r="L176" s="112" t="s">
        <v>45</v>
      </c>
      <c r="M176" s="112" t="s">
        <v>69</v>
      </c>
      <c r="N176" s="112" t="s">
        <v>47</v>
      </c>
      <c r="O176" s="112" t="s">
        <v>138</v>
      </c>
      <c r="P176" s="73"/>
    </row>
    <row r="177" spans="2:18" x14ac:dyDescent="0.2">
      <c r="B177" s="25" t="s">
        <v>294</v>
      </c>
      <c r="C177" s="25"/>
      <c r="D177" s="25"/>
      <c r="E177" s="25"/>
      <c r="F177" s="25"/>
      <c r="G177" s="109" t="s">
        <v>179</v>
      </c>
      <c r="H177" s="113">
        <f>H173</f>
        <v>22657.5</v>
      </c>
      <c r="I177" s="113">
        <f>I173</f>
        <v>16288.75</v>
      </c>
      <c r="J177" s="116">
        <f>J173+(J30*N2)</f>
        <v>0</v>
      </c>
      <c r="K177" s="116">
        <f>K173+(J43*N2)</f>
        <v>121347</v>
      </c>
      <c r="L177" s="116">
        <f>L173+(J44*N2)</f>
        <v>7200</v>
      </c>
      <c r="M177" s="116">
        <f>M173+(J45*N2)</f>
        <v>52197.5</v>
      </c>
      <c r="N177" s="116">
        <f>N173+(J46*N2)</f>
        <v>0</v>
      </c>
      <c r="O177" s="116">
        <f>O173+(J55*N2)</f>
        <v>240309.25</v>
      </c>
      <c r="P177" s="73"/>
      <c r="Q177" s="73"/>
      <c r="R177" s="73"/>
    </row>
    <row r="178" spans="2:18" x14ac:dyDescent="0.2">
      <c r="G178" s="109"/>
      <c r="H178" s="109"/>
      <c r="I178" s="109"/>
      <c r="J178" s="109"/>
      <c r="K178" s="109"/>
      <c r="L178" s="109"/>
      <c r="M178" s="109"/>
      <c r="N178" s="109"/>
      <c r="O178" s="109"/>
      <c r="P178" s="72"/>
    </row>
  </sheetData>
  <mergeCells count="1">
    <mergeCell ref="E2:F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/>
  </sheetViews>
  <sheetFormatPr defaultColWidth="9.140625" defaultRowHeight="12.75" x14ac:dyDescent="0.2"/>
  <cols>
    <col min="1" max="1" width="2.7109375" style="26" customWidth="1"/>
    <col min="2" max="15" width="10.7109375" style="26" customWidth="1"/>
    <col min="16" max="16" width="12.140625" style="26" customWidth="1"/>
    <col min="17" max="16384" width="9.140625" style="26"/>
  </cols>
  <sheetData>
    <row r="1" spans="1:17" ht="15.75" thickBot="1" x14ac:dyDescent="0.3">
      <c r="G1" s="62"/>
      <c r="H1" s="62"/>
      <c r="I1" s="62"/>
      <c r="J1" s="62"/>
      <c r="N1" s="6"/>
      <c r="O1" s="6"/>
      <c r="P1" s="6"/>
    </row>
    <row r="2" spans="1:17" ht="16.5" thickBot="1" x14ac:dyDescent="0.3">
      <c r="B2" s="66" t="s">
        <v>229</v>
      </c>
      <c r="D2" s="65" t="s">
        <v>58</v>
      </c>
      <c r="E2" s="140" t="str">
        <f>Overview!C6</f>
        <v>Cassava</v>
      </c>
      <c r="F2" s="141"/>
      <c r="G2" s="66" t="s">
        <v>206</v>
      </c>
      <c r="H2" s="66"/>
      <c r="I2" s="66"/>
      <c r="J2" s="66" t="s">
        <v>205</v>
      </c>
      <c r="K2" s="66"/>
      <c r="L2" s="66"/>
      <c r="M2" s="3">
        <v>50</v>
      </c>
      <c r="N2" s="134"/>
      <c r="O2" s="134"/>
      <c r="P2" s="134"/>
      <c r="Q2" s="63"/>
    </row>
    <row r="4" spans="1:17" x14ac:dyDescent="0.2">
      <c r="A4" s="1"/>
      <c r="B4" s="1"/>
      <c r="C4" s="1"/>
      <c r="D4" s="2"/>
      <c r="E4" s="2"/>
      <c r="F4" s="2"/>
      <c r="G4" s="31" t="s">
        <v>124</v>
      </c>
      <c r="H4" s="31" t="s">
        <v>125</v>
      </c>
      <c r="I4" s="27"/>
      <c r="J4" s="27"/>
      <c r="K4" s="27"/>
      <c r="L4" s="27"/>
      <c r="M4" s="27"/>
      <c r="N4" s="27"/>
      <c r="O4" s="27"/>
      <c r="P4" s="27"/>
    </row>
    <row r="5" spans="1:17" x14ac:dyDescent="0.2">
      <c r="A5" s="1"/>
      <c r="B5" s="1"/>
      <c r="C5" s="1"/>
      <c r="D5" s="2" t="s">
        <v>192</v>
      </c>
      <c r="E5" s="2"/>
      <c r="F5" s="2"/>
      <c r="G5" s="31" t="s">
        <v>95</v>
      </c>
      <c r="H5" s="31" t="s">
        <v>95</v>
      </c>
      <c r="I5" s="24"/>
      <c r="J5" s="24"/>
      <c r="K5" s="24"/>
      <c r="L5" s="24"/>
      <c r="M5" s="24"/>
      <c r="N5" s="24"/>
      <c r="O5" s="24"/>
      <c r="P5" s="24"/>
    </row>
    <row r="6" spans="1:17" x14ac:dyDescent="0.2">
      <c r="A6" s="1"/>
      <c r="B6" s="1"/>
      <c r="C6" s="1"/>
      <c r="D6" s="2" t="s">
        <v>201</v>
      </c>
      <c r="E6" s="2"/>
      <c r="F6" s="1"/>
      <c r="G6" s="31" t="s">
        <v>286</v>
      </c>
      <c r="H6" s="31" t="s">
        <v>9</v>
      </c>
    </row>
    <row r="7" spans="1:17" x14ac:dyDescent="0.2">
      <c r="A7" s="1"/>
      <c r="B7" s="1"/>
      <c r="C7" s="1"/>
      <c r="D7" s="2"/>
      <c r="E7" s="2"/>
      <c r="F7" s="1"/>
      <c r="G7" s="31" t="s">
        <v>202</v>
      </c>
      <c r="H7" s="31" t="s">
        <v>202</v>
      </c>
    </row>
    <row r="8" spans="1:17" x14ac:dyDescent="0.2">
      <c r="A8" s="1"/>
      <c r="B8" s="2" t="s">
        <v>12</v>
      </c>
      <c r="C8" s="1"/>
      <c r="D8" s="2"/>
      <c r="E8" s="2"/>
      <c r="F8" s="1"/>
      <c r="G8" s="81"/>
      <c r="H8" s="30"/>
    </row>
    <row r="9" spans="1:17" x14ac:dyDescent="0.2">
      <c r="A9" s="1"/>
      <c r="B9" s="1"/>
      <c r="C9" s="1" t="s">
        <v>193</v>
      </c>
      <c r="D9" s="1"/>
      <c r="E9" s="1"/>
      <c r="F9" s="1"/>
      <c r="G9" s="32">
        <v>6</v>
      </c>
      <c r="H9" s="32">
        <v>6.3</v>
      </c>
    </row>
    <row r="10" spans="1:17" x14ac:dyDescent="0.2">
      <c r="A10" s="1"/>
      <c r="B10" s="1"/>
      <c r="C10" s="1" t="s">
        <v>194</v>
      </c>
      <c r="D10" s="1"/>
      <c r="E10" s="1"/>
      <c r="F10" s="1"/>
      <c r="G10" s="32">
        <v>480</v>
      </c>
      <c r="H10" s="32">
        <v>480</v>
      </c>
    </row>
    <row r="11" spans="1:17" x14ac:dyDescent="0.2">
      <c r="A11" s="1"/>
      <c r="B11" s="1"/>
      <c r="C11" s="2" t="s">
        <v>96</v>
      </c>
      <c r="D11" s="2"/>
      <c r="E11" s="2"/>
      <c r="F11" s="2"/>
      <c r="G11" s="133">
        <f t="shared" ref="G11" si="0">G10*G9</f>
        <v>2880</v>
      </c>
      <c r="H11" s="133">
        <f t="shared" ref="H11" si="1">H10*H9</f>
        <v>3024</v>
      </c>
      <c r="I11" s="25"/>
      <c r="J11" s="25"/>
      <c r="K11" s="25"/>
      <c r="L11" s="25"/>
      <c r="M11" s="25"/>
      <c r="N11" s="25"/>
      <c r="O11" s="25"/>
      <c r="P11" s="25"/>
    </row>
    <row r="12" spans="1:17" x14ac:dyDescent="0.2">
      <c r="A12" s="1"/>
      <c r="B12" s="1"/>
      <c r="C12" s="1"/>
      <c r="D12" s="1"/>
      <c r="E12" s="1"/>
      <c r="F12" s="1"/>
      <c r="G12" s="80"/>
      <c r="H12" s="80"/>
    </row>
    <row r="13" spans="1:17" x14ac:dyDescent="0.2">
      <c r="A13" s="1"/>
      <c r="B13" s="2" t="s">
        <v>14</v>
      </c>
      <c r="C13" s="1"/>
      <c r="D13" s="1"/>
      <c r="E13" s="1"/>
      <c r="F13" s="1"/>
      <c r="G13" s="80"/>
      <c r="H13" s="80"/>
    </row>
    <row r="14" spans="1:17" x14ac:dyDescent="0.2">
      <c r="A14" s="1"/>
      <c r="B14" s="1"/>
      <c r="C14" s="1" t="s">
        <v>76</v>
      </c>
      <c r="D14" s="1"/>
      <c r="E14" s="1"/>
      <c r="F14" s="1"/>
      <c r="G14" s="32">
        <f>6.3*240</f>
        <v>1512</v>
      </c>
      <c r="H14" s="32">
        <f>6.3*240</f>
        <v>1512</v>
      </c>
    </row>
    <row r="15" spans="1:17" x14ac:dyDescent="0.2">
      <c r="A15" s="1"/>
      <c r="B15" s="1"/>
      <c r="C15" s="1" t="s">
        <v>77</v>
      </c>
      <c r="D15" s="1"/>
      <c r="E15" s="1"/>
      <c r="F15" s="1"/>
      <c r="G15" s="32">
        <v>450</v>
      </c>
      <c r="H15" s="32">
        <v>450</v>
      </c>
    </row>
    <row r="16" spans="1:17" x14ac:dyDescent="0.2">
      <c r="A16" s="1"/>
      <c r="B16" s="1"/>
      <c r="C16" s="1" t="s">
        <v>195</v>
      </c>
      <c r="D16" s="1"/>
      <c r="E16" s="1"/>
      <c r="F16" s="1"/>
      <c r="G16" s="32">
        <v>0</v>
      </c>
      <c r="H16" s="32">
        <v>0</v>
      </c>
    </row>
    <row r="17" spans="1:16" x14ac:dyDescent="0.2">
      <c r="A17" s="1"/>
      <c r="B17" s="1"/>
      <c r="C17" s="1" t="s">
        <v>196</v>
      </c>
      <c r="D17" s="1"/>
      <c r="E17" s="1"/>
      <c r="F17" s="1"/>
      <c r="G17" s="32">
        <f>67*2.5</f>
        <v>167.5</v>
      </c>
      <c r="H17" s="32">
        <f>67*2.5</f>
        <v>167.5</v>
      </c>
    </row>
    <row r="18" spans="1:16" x14ac:dyDescent="0.2">
      <c r="A18" s="1"/>
      <c r="B18" s="1"/>
      <c r="C18" s="1" t="s">
        <v>26</v>
      </c>
      <c r="D18" s="1"/>
      <c r="E18" s="1"/>
      <c r="F18" s="1"/>
      <c r="G18" s="32">
        <v>0</v>
      </c>
      <c r="H18" s="32">
        <v>0</v>
      </c>
    </row>
    <row r="19" spans="1:16" x14ac:dyDescent="0.2">
      <c r="A19" s="1"/>
      <c r="B19" s="2"/>
      <c r="C19" s="2" t="s">
        <v>27</v>
      </c>
      <c r="D19" s="2"/>
      <c r="E19" s="2"/>
      <c r="F19" s="2"/>
      <c r="G19" s="133">
        <f t="shared" ref="G19" si="2">SUM(G14:G18)</f>
        <v>2129.5</v>
      </c>
      <c r="H19" s="133">
        <f t="shared" ref="H19" si="3">SUM(H14:H18)</f>
        <v>2129.5</v>
      </c>
      <c r="I19" s="25"/>
      <c r="J19" s="25"/>
      <c r="K19" s="25"/>
      <c r="L19" s="25"/>
      <c r="M19" s="25"/>
      <c r="N19" s="25"/>
      <c r="O19" s="25"/>
      <c r="P19" s="25"/>
    </row>
    <row r="20" spans="1:16" x14ac:dyDescent="0.2">
      <c r="A20" s="1"/>
      <c r="B20" s="2" t="s">
        <v>28</v>
      </c>
      <c r="C20" s="1"/>
      <c r="D20" s="1"/>
      <c r="E20" s="1"/>
      <c r="F20" s="1"/>
      <c r="G20" s="80"/>
      <c r="H20" s="80"/>
    </row>
    <row r="21" spans="1:16" x14ac:dyDescent="0.2">
      <c r="A21" s="1"/>
      <c r="B21" s="2"/>
      <c r="C21" s="1" t="s">
        <v>29</v>
      </c>
      <c r="D21" s="1"/>
      <c r="E21" s="1"/>
      <c r="F21" s="1"/>
      <c r="G21" s="32">
        <v>0</v>
      </c>
      <c r="H21" s="32">
        <v>0</v>
      </c>
    </row>
    <row r="22" spans="1:16" x14ac:dyDescent="0.2">
      <c r="A22" s="1"/>
      <c r="B22" s="1"/>
      <c r="C22" s="1" t="s">
        <v>197</v>
      </c>
      <c r="D22" s="1"/>
      <c r="E22" s="1"/>
      <c r="F22" s="1"/>
      <c r="G22" s="32"/>
      <c r="H22" s="32"/>
    </row>
    <row r="23" spans="1:16" x14ac:dyDescent="0.2">
      <c r="A23" s="1"/>
      <c r="B23" s="1"/>
      <c r="C23" s="1"/>
      <c r="D23" s="1" t="s">
        <v>42</v>
      </c>
      <c r="E23" s="1"/>
      <c r="F23" s="1"/>
      <c r="G23" s="32"/>
      <c r="H23" s="32"/>
    </row>
    <row r="24" spans="1:16" x14ac:dyDescent="0.2">
      <c r="A24" s="1"/>
      <c r="B24" s="1"/>
      <c r="C24" s="1"/>
      <c r="D24" s="1" t="s">
        <v>102</v>
      </c>
      <c r="E24" s="1"/>
      <c r="F24" s="1"/>
      <c r="G24" s="32"/>
      <c r="H24" s="32"/>
    </row>
    <row r="25" spans="1:16" x14ac:dyDescent="0.2">
      <c r="A25" s="1"/>
      <c r="B25" s="1"/>
      <c r="C25" s="1"/>
      <c r="D25" s="1" t="s">
        <v>103</v>
      </c>
      <c r="E25" s="1"/>
      <c r="F25" s="1"/>
      <c r="G25" s="32">
        <f>45*2</f>
        <v>90</v>
      </c>
      <c r="H25" s="32">
        <f>45*2</f>
        <v>90</v>
      </c>
    </row>
    <row r="26" spans="1:16" x14ac:dyDescent="0.2">
      <c r="A26" s="1"/>
      <c r="B26" s="1"/>
      <c r="C26" s="1"/>
      <c r="D26" s="1" t="s">
        <v>104</v>
      </c>
      <c r="E26" s="1"/>
      <c r="F26" s="1"/>
      <c r="G26" s="32"/>
      <c r="H26" s="32"/>
    </row>
    <row r="27" spans="1:16" x14ac:dyDescent="0.2">
      <c r="A27" s="1"/>
      <c r="B27" s="1"/>
      <c r="C27" s="1"/>
      <c r="D27" s="1" t="s">
        <v>200</v>
      </c>
      <c r="E27" s="1"/>
      <c r="F27" s="1"/>
      <c r="G27" s="32">
        <f>45*1.5</f>
        <v>67.5</v>
      </c>
      <c r="H27" s="32">
        <f>45*1.5</f>
        <v>67.5</v>
      </c>
    </row>
    <row r="28" spans="1:16" x14ac:dyDescent="0.2">
      <c r="A28" s="1"/>
      <c r="B28" s="1"/>
      <c r="C28" s="1"/>
      <c r="D28" s="1" t="s">
        <v>26</v>
      </c>
      <c r="E28" s="1"/>
      <c r="F28" s="1"/>
      <c r="G28" s="32"/>
      <c r="H28" s="32"/>
    </row>
    <row r="29" spans="1:16" x14ac:dyDescent="0.2">
      <c r="A29" s="1"/>
      <c r="B29" s="1"/>
      <c r="C29" s="1"/>
      <c r="D29" s="1" t="s">
        <v>44</v>
      </c>
      <c r="E29" s="1"/>
      <c r="F29" s="1"/>
      <c r="G29" s="133">
        <f t="shared" ref="G29" si="4">SUM(G23:G28)</f>
        <v>157.5</v>
      </c>
      <c r="H29" s="133">
        <f t="shared" ref="H29" si="5">SUM(H23:H28)</f>
        <v>157.5</v>
      </c>
      <c r="I29" s="25"/>
      <c r="J29" s="25"/>
      <c r="K29" s="25"/>
      <c r="L29" s="25"/>
      <c r="M29" s="25"/>
      <c r="N29" s="25"/>
      <c r="O29" s="25"/>
      <c r="P29" s="25"/>
    </row>
    <row r="30" spans="1:16" x14ac:dyDescent="0.2">
      <c r="A30" s="1"/>
      <c r="B30" s="1"/>
      <c r="C30" s="1" t="s">
        <v>45</v>
      </c>
      <c r="D30" s="1"/>
      <c r="E30" s="1"/>
      <c r="F30" s="1"/>
      <c r="G30" s="32"/>
      <c r="H30" s="32"/>
    </row>
    <row r="31" spans="1:16" x14ac:dyDescent="0.2">
      <c r="A31" s="1"/>
      <c r="B31" s="1"/>
      <c r="C31" s="1" t="s">
        <v>198</v>
      </c>
      <c r="D31" s="1"/>
      <c r="E31" s="1"/>
      <c r="F31" s="1"/>
      <c r="G31" s="32">
        <f>45*1</f>
        <v>45</v>
      </c>
      <c r="H31" s="32">
        <f>45*1</f>
        <v>45</v>
      </c>
    </row>
    <row r="32" spans="1:16" x14ac:dyDescent="0.2">
      <c r="A32" s="1"/>
      <c r="B32" s="1"/>
      <c r="C32" s="1" t="s">
        <v>47</v>
      </c>
      <c r="D32" s="1"/>
      <c r="E32" s="1"/>
      <c r="F32" s="1"/>
      <c r="G32" s="32"/>
      <c r="H32" s="32"/>
    </row>
    <row r="33" spans="1:16" x14ac:dyDescent="0.2">
      <c r="A33" s="1"/>
      <c r="B33" s="2" t="s">
        <v>48</v>
      </c>
      <c r="C33" s="2"/>
      <c r="D33" s="2"/>
      <c r="E33" s="1"/>
      <c r="F33" s="1"/>
      <c r="G33" s="133">
        <f>G11-G19-G21-G29-G30-G31-G32</f>
        <v>548</v>
      </c>
      <c r="H33" s="133">
        <f>H11-H19-H21-H29-H30-H31-H32</f>
        <v>692</v>
      </c>
      <c r="I33" s="25"/>
      <c r="J33" s="25"/>
      <c r="K33" s="25"/>
      <c r="L33" s="25"/>
      <c r="M33" s="25"/>
      <c r="N33" s="25"/>
      <c r="O33" s="25"/>
      <c r="P33" s="25"/>
    </row>
    <row r="34" spans="1:16" x14ac:dyDescent="0.2">
      <c r="A34" s="1"/>
      <c r="B34" s="2"/>
      <c r="C34" s="2" t="s">
        <v>49</v>
      </c>
      <c r="D34" s="2"/>
      <c r="E34" s="1"/>
      <c r="F34" s="1"/>
      <c r="G34" s="80"/>
      <c r="H34" s="80"/>
    </row>
    <row r="35" spans="1:16" x14ac:dyDescent="0.2">
      <c r="A35" s="1"/>
      <c r="B35" s="1"/>
      <c r="C35" s="1"/>
      <c r="D35" s="1" t="s">
        <v>199</v>
      </c>
      <c r="E35" s="1"/>
      <c r="F35" s="1"/>
      <c r="G35" s="32">
        <v>0</v>
      </c>
      <c r="H35" s="32">
        <v>0</v>
      </c>
    </row>
    <row r="36" spans="1:16" x14ac:dyDescent="0.2">
      <c r="A36" s="1"/>
      <c r="B36" s="1"/>
      <c r="C36" s="1"/>
      <c r="D36" s="1" t="s">
        <v>26</v>
      </c>
      <c r="E36" s="1"/>
      <c r="F36" s="1"/>
      <c r="G36" s="32"/>
      <c r="H36" s="32"/>
    </row>
    <row r="37" spans="1:16" x14ac:dyDescent="0.2">
      <c r="A37" s="1"/>
      <c r="B37" s="1"/>
      <c r="C37" s="1"/>
      <c r="D37" s="1" t="s">
        <v>26</v>
      </c>
      <c r="E37" s="1"/>
      <c r="F37" s="1"/>
      <c r="G37" s="32"/>
      <c r="H37" s="32"/>
    </row>
    <row r="38" spans="1:16" x14ac:dyDescent="0.2">
      <c r="A38" s="1"/>
      <c r="B38" s="2"/>
      <c r="C38" s="2"/>
      <c r="D38" s="2" t="s">
        <v>52</v>
      </c>
      <c r="E38" s="2"/>
      <c r="F38" s="2"/>
      <c r="G38" s="133">
        <f t="shared" ref="G38" si="6">SUM(G35:G37)</f>
        <v>0</v>
      </c>
      <c r="H38" s="133">
        <f t="shared" ref="H38" si="7">SUM(H35:H37)</f>
        <v>0</v>
      </c>
      <c r="I38" s="25"/>
      <c r="J38" s="25"/>
      <c r="K38" s="25"/>
      <c r="L38" s="25"/>
      <c r="M38" s="25"/>
      <c r="N38" s="25"/>
      <c r="O38" s="25"/>
      <c r="P38" s="25"/>
    </row>
    <row r="39" spans="1:16" x14ac:dyDescent="0.2">
      <c r="A39" s="1"/>
      <c r="B39" s="2" t="s">
        <v>53</v>
      </c>
      <c r="C39" s="2"/>
      <c r="D39" s="2"/>
      <c r="E39" s="2"/>
      <c r="F39" s="2"/>
      <c r="G39" s="133">
        <f t="shared" ref="G39" si="8">G33-G38</f>
        <v>548</v>
      </c>
      <c r="H39" s="133">
        <f t="shared" ref="H39" si="9">H33-H38</f>
        <v>692</v>
      </c>
      <c r="I39" s="25"/>
      <c r="J39" s="25"/>
      <c r="K39" s="25"/>
      <c r="L39" s="25"/>
      <c r="M39" s="25"/>
      <c r="N39" s="25"/>
      <c r="O39" s="25"/>
      <c r="P39" s="25"/>
    </row>
    <row r="40" spans="1:16" s="76" customFormat="1" x14ac:dyDescent="0.2">
      <c r="G40" s="82"/>
      <c r="H40" s="82"/>
    </row>
    <row r="41" spans="1:16" x14ac:dyDescent="0.2">
      <c r="B41" s="69" t="str">
        <f>B2</f>
        <v>Trading (fresh, WS)</v>
      </c>
      <c r="C41" s="69"/>
      <c r="D41" s="69" t="str">
        <f>D2</f>
        <v xml:space="preserve">Crop: </v>
      </c>
      <c r="E41" s="69" t="str">
        <f>E2</f>
        <v>Cassava</v>
      </c>
      <c r="F41" s="70"/>
      <c r="G41" s="69" t="s">
        <v>177</v>
      </c>
    </row>
    <row r="43" spans="1:16" ht="15" x14ac:dyDescent="0.25">
      <c r="B43" s="77" t="str">
        <f>G4</f>
        <v>Option 1</v>
      </c>
      <c r="C43" s="78" t="str">
        <f>G5</f>
        <v>Brong Ahafo</v>
      </c>
      <c r="D43" s="78" t="str">
        <f>G6</f>
        <v>Current</v>
      </c>
      <c r="E43" s="79" t="str">
        <f>G7</f>
        <v>Wholesale</v>
      </c>
      <c r="F43" s="25" t="s">
        <v>176</v>
      </c>
      <c r="H43" s="60" t="s">
        <v>64</v>
      </c>
      <c r="I43" s="60" t="s">
        <v>64</v>
      </c>
      <c r="J43" s="60"/>
      <c r="K43" s="60"/>
      <c r="L43" s="60"/>
      <c r="M43" s="60"/>
      <c r="N43" s="60"/>
      <c r="O43" s="60"/>
    </row>
    <row r="44" spans="1:16" ht="15" x14ac:dyDescent="0.25">
      <c r="B44" s="25" t="s">
        <v>97</v>
      </c>
      <c r="G44" s="26" t="s">
        <v>133</v>
      </c>
      <c r="H44" s="60" t="s">
        <v>65</v>
      </c>
      <c r="I44" s="60" t="s">
        <v>66</v>
      </c>
      <c r="J44" s="61" t="s">
        <v>67</v>
      </c>
      <c r="K44" s="61" t="s">
        <v>68</v>
      </c>
      <c r="L44" s="61" t="s">
        <v>45</v>
      </c>
      <c r="M44" s="61" t="s">
        <v>69</v>
      </c>
      <c r="N44" s="61" t="s">
        <v>47</v>
      </c>
      <c r="O44" s="61" t="s">
        <v>70</v>
      </c>
    </row>
    <row r="45" spans="1:16" x14ac:dyDescent="0.2">
      <c r="C45" s="26" t="s">
        <v>76</v>
      </c>
      <c r="G45" s="71"/>
      <c r="J45" s="26" t="s">
        <v>178</v>
      </c>
    </row>
    <row r="46" spans="1:16" x14ac:dyDescent="0.2">
      <c r="C46" s="26" t="s">
        <v>77</v>
      </c>
      <c r="G46" s="108">
        <f>G15*M2</f>
        <v>22500</v>
      </c>
      <c r="H46" s="108">
        <f>$G46*'Break-down of IGS and Deprec'!F77</f>
        <v>5800</v>
      </c>
      <c r="I46" s="108">
        <f>$G46*'Break-down of IGS and Deprec'!G77</f>
        <v>500</v>
      </c>
      <c r="J46" s="108">
        <f>$G46*'Break-down of IGS and Deprec'!H77</f>
        <v>0</v>
      </c>
      <c r="K46" s="108">
        <f>$G46*'Break-down of IGS and Deprec'!I77</f>
        <v>5000</v>
      </c>
      <c r="L46" s="108">
        <f>$G46*'Break-down of IGS and Deprec'!J77</f>
        <v>1000</v>
      </c>
      <c r="M46" s="108">
        <f>$G46*'Break-down of IGS and Deprec'!K77</f>
        <v>4085.9999999999995</v>
      </c>
      <c r="N46" s="108">
        <f>$G46*'Break-down of IGS and Deprec'!L77</f>
        <v>0</v>
      </c>
      <c r="O46" s="108">
        <f>$G46*'Break-down of IGS and Deprec'!M77</f>
        <v>6114.0000000000036</v>
      </c>
      <c r="P46" s="71"/>
    </row>
    <row r="47" spans="1:16" x14ac:dyDescent="0.2">
      <c r="C47" s="26" t="s">
        <v>195</v>
      </c>
      <c r="G47" s="108">
        <f>G16*M2</f>
        <v>0</v>
      </c>
      <c r="H47" s="108">
        <f>$G47*'Break-down of IGS and Deprec'!F78</f>
        <v>0</v>
      </c>
      <c r="I47" s="108">
        <f>$G47*'Break-down of IGS and Deprec'!G78</f>
        <v>0</v>
      </c>
      <c r="J47" s="108">
        <f>$G47*'Break-down of IGS and Deprec'!H78</f>
        <v>0</v>
      </c>
      <c r="K47" s="108">
        <f>$G47*'Break-down of IGS and Deprec'!I78</f>
        <v>0</v>
      </c>
      <c r="L47" s="108">
        <f>$G47*'Break-down of IGS and Deprec'!J78</f>
        <v>0</v>
      </c>
      <c r="M47" s="108">
        <f>$G47*'Break-down of IGS and Deprec'!K78</f>
        <v>0</v>
      </c>
      <c r="N47" s="108">
        <f>$G47*'Break-down of IGS and Deprec'!L78</f>
        <v>0</v>
      </c>
      <c r="O47" s="108">
        <f>$G47*'Break-down of IGS and Deprec'!M78</f>
        <v>0</v>
      </c>
      <c r="P47" s="71"/>
    </row>
    <row r="48" spans="1:16" x14ac:dyDescent="0.2">
      <c r="C48" s="26" t="s">
        <v>196</v>
      </c>
      <c r="G48" s="108">
        <f>G17*M2</f>
        <v>8375</v>
      </c>
      <c r="H48" s="108">
        <f>$G48*'Break-down of IGS and Deprec'!F79</f>
        <v>837.5</v>
      </c>
      <c r="I48" s="108">
        <f>$G48*'Break-down of IGS and Deprec'!G79</f>
        <v>1675</v>
      </c>
      <c r="J48" s="108">
        <f>$G48*'Break-down of IGS and Deprec'!H79</f>
        <v>0</v>
      </c>
      <c r="K48" s="108">
        <f>$G48*'Break-down of IGS and Deprec'!I79</f>
        <v>1256.25</v>
      </c>
      <c r="L48" s="108">
        <f>$G48*'Break-down of IGS and Deprec'!J79</f>
        <v>837.5</v>
      </c>
      <c r="M48" s="108">
        <f>$G48*'Break-down of IGS and Deprec'!K79</f>
        <v>2093.75</v>
      </c>
      <c r="N48" s="108">
        <f>$G48*'Break-down of IGS and Deprec'!L79</f>
        <v>0</v>
      </c>
      <c r="O48" s="108">
        <f>$G48*'Break-down of IGS and Deprec'!M79</f>
        <v>1674.9999999999995</v>
      </c>
      <c r="P48" s="71"/>
    </row>
    <row r="49" spans="2:17" x14ac:dyDescent="0.2">
      <c r="C49" s="26" t="s">
        <v>26</v>
      </c>
      <c r="G49" s="108">
        <f>G18*M2</f>
        <v>0</v>
      </c>
      <c r="H49" s="108">
        <f>$G49*'Break-down of IGS and Deprec'!F80</f>
        <v>0</v>
      </c>
      <c r="I49" s="108">
        <f>$G49*'Break-down of IGS and Deprec'!G80</f>
        <v>0</v>
      </c>
      <c r="J49" s="108">
        <f>$G49*'Break-down of IGS and Deprec'!H80</f>
        <v>0</v>
      </c>
      <c r="K49" s="108">
        <f>$G49*'Break-down of IGS and Deprec'!I80</f>
        <v>0</v>
      </c>
      <c r="L49" s="108">
        <f>$G49*'Break-down of IGS and Deprec'!J80</f>
        <v>0</v>
      </c>
      <c r="M49" s="108">
        <f>$G49*'Break-down of IGS and Deprec'!K80</f>
        <v>0</v>
      </c>
      <c r="N49" s="108">
        <f>$G49*'Break-down of IGS and Deprec'!L80</f>
        <v>0</v>
      </c>
      <c r="O49" s="108">
        <f>$G49*'Break-down of IGS and Deprec'!M80</f>
        <v>0</v>
      </c>
      <c r="P49" s="71"/>
    </row>
    <row r="50" spans="2:17" x14ac:dyDescent="0.2">
      <c r="B50" s="25"/>
      <c r="C50" s="25" t="s">
        <v>27</v>
      </c>
      <c r="D50" s="25"/>
      <c r="E50" s="25"/>
      <c r="F50" s="25"/>
      <c r="G50" s="108">
        <f>SUM(G46:G49)</f>
        <v>30875</v>
      </c>
      <c r="H50" s="108">
        <f>SUM(H46:H49)</f>
        <v>6637.5</v>
      </c>
      <c r="I50" s="108">
        <f t="shared" ref="I50:O50" si="10">SUM(I46:I49)</f>
        <v>2175</v>
      </c>
      <c r="J50" s="108">
        <f t="shared" si="10"/>
        <v>0</v>
      </c>
      <c r="K50" s="108">
        <f t="shared" si="10"/>
        <v>6256.25</v>
      </c>
      <c r="L50" s="108">
        <f t="shared" si="10"/>
        <v>1837.5</v>
      </c>
      <c r="M50" s="108">
        <f t="shared" si="10"/>
        <v>6179.75</v>
      </c>
      <c r="N50" s="108">
        <f t="shared" si="10"/>
        <v>0</v>
      </c>
      <c r="O50" s="108">
        <f t="shared" si="10"/>
        <v>7789.0000000000036</v>
      </c>
      <c r="P50" s="71"/>
    </row>
    <row r="51" spans="2:17" x14ac:dyDescent="0.2">
      <c r="B51" s="25" t="s">
        <v>49</v>
      </c>
      <c r="F51" s="25"/>
      <c r="G51" s="109"/>
      <c r="H51" s="109"/>
      <c r="I51" s="109"/>
      <c r="J51" s="109"/>
      <c r="K51" s="109"/>
      <c r="L51" s="109"/>
      <c r="M51" s="109"/>
      <c r="N51" s="109"/>
      <c r="O51" s="109"/>
      <c r="P51" s="80"/>
    </row>
    <row r="52" spans="2:17" x14ac:dyDescent="0.2">
      <c r="C52" s="26" t="s">
        <v>199</v>
      </c>
      <c r="F52" s="25"/>
      <c r="G52" s="109">
        <f>G35*M2</f>
        <v>0</v>
      </c>
      <c r="H52" s="109">
        <f>$G52*'Break-down of IGS and Deprec'!H92</f>
        <v>0</v>
      </c>
      <c r="I52" s="109">
        <f>$G52*'Break-down of IGS and Deprec'!I92</f>
        <v>0</v>
      </c>
      <c r="J52" s="109">
        <f>$G52*'Break-down of IGS and Deprec'!J92</f>
        <v>0</v>
      </c>
      <c r="K52" s="109">
        <f>$G52*'Break-down of IGS and Deprec'!K92</f>
        <v>0</v>
      </c>
      <c r="L52" s="109">
        <f>$G52*'Break-down of IGS and Deprec'!L92</f>
        <v>0</v>
      </c>
      <c r="M52" s="109">
        <f>$G52*'Break-down of IGS and Deprec'!M92</f>
        <v>0</v>
      </c>
      <c r="N52" s="109">
        <f>$G52*'Break-down of IGS and Deprec'!N92</f>
        <v>0</v>
      </c>
      <c r="O52" s="109">
        <f>$G52*'Break-down of IGS and Deprec'!O92</f>
        <v>0</v>
      </c>
      <c r="P52" s="80"/>
    </row>
    <row r="53" spans="2:17" x14ac:dyDescent="0.2">
      <c r="C53" s="26" t="s">
        <v>26</v>
      </c>
      <c r="F53" s="25"/>
      <c r="G53" s="109">
        <f>G36*M2</f>
        <v>0</v>
      </c>
      <c r="H53" s="109">
        <f>$G53*'Break-down of IGS and Deprec'!H93</f>
        <v>0</v>
      </c>
      <c r="I53" s="109">
        <f>$G53*'Break-down of IGS and Deprec'!I93</f>
        <v>0</v>
      </c>
      <c r="J53" s="109">
        <f>$G53*'Break-down of IGS and Deprec'!J93</f>
        <v>0</v>
      </c>
      <c r="K53" s="109">
        <f>$G53*'Break-down of IGS and Deprec'!K93</f>
        <v>0</v>
      </c>
      <c r="L53" s="109">
        <f>$G53*'Break-down of IGS and Deprec'!L93</f>
        <v>0</v>
      </c>
      <c r="M53" s="109">
        <f>$G53*'Break-down of IGS and Deprec'!M93</f>
        <v>0</v>
      </c>
      <c r="N53" s="109">
        <f>$G53*'Break-down of IGS and Deprec'!N93</f>
        <v>0</v>
      </c>
      <c r="O53" s="109">
        <f>$G53*'Break-down of IGS and Deprec'!O93</f>
        <v>0</v>
      </c>
      <c r="P53" s="80"/>
    </row>
    <row r="54" spans="2:17" x14ac:dyDescent="0.2">
      <c r="C54" s="26" t="s">
        <v>26</v>
      </c>
      <c r="F54" s="25"/>
      <c r="G54" s="109">
        <f>G37*M2</f>
        <v>0</v>
      </c>
      <c r="H54" s="109">
        <f>$G54*'Break-down of IGS and Deprec'!H94</f>
        <v>0</v>
      </c>
      <c r="I54" s="109">
        <f>$G54*'Break-down of IGS and Deprec'!I94</f>
        <v>0</v>
      </c>
      <c r="J54" s="109">
        <f>$G54*'Break-down of IGS and Deprec'!J94</f>
        <v>0</v>
      </c>
      <c r="K54" s="109">
        <f>$G54*'Break-down of IGS and Deprec'!K94</f>
        <v>0</v>
      </c>
      <c r="L54" s="109">
        <f>$G54*'Break-down of IGS and Deprec'!L94</f>
        <v>0</v>
      </c>
      <c r="M54" s="109">
        <f>$G54*'Break-down of IGS and Deprec'!M94</f>
        <v>0</v>
      </c>
      <c r="N54" s="109">
        <f>$G54*'Break-down of IGS and Deprec'!N94</f>
        <v>0</v>
      </c>
      <c r="O54" s="109">
        <f>$G54*'Break-down of IGS and Deprec'!O94</f>
        <v>0</v>
      </c>
      <c r="P54" s="80"/>
    </row>
    <row r="55" spans="2:17" x14ac:dyDescent="0.2">
      <c r="C55" s="25" t="s">
        <v>52</v>
      </c>
      <c r="F55" s="25"/>
      <c r="G55" s="109">
        <f>SUM(G52:G54)</f>
        <v>0</v>
      </c>
      <c r="H55" s="109">
        <f t="shared" ref="H55:O55" si="11">SUM(H52:H54)</f>
        <v>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09">
        <f t="shared" si="11"/>
        <v>0</v>
      </c>
      <c r="N55" s="109">
        <f t="shared" si="11"/>
        <v>0</v>
      </c>
      <c r="O55" s="109">
        <f t="shared" si="11"/>
        <v>0</v>
      </c>
      <c r="P55" s="80"/>
    </row>
    <row r="56" spans="2:17" ht="15" x14ac:dyDescent="0.25">
      <c r="B56" s="25"/>
      <c r="C56" s="25"/>
      <c r="D56" s="25"/>
      <c r="G56" s="109"/>
      <c r="H56" s="111" t="s">
        <v>64</v>
      </c>
      <c r="I56" s="111" t="s">
        <v>64</v>
      </c>
      <c r="J56" s="111"/>
      <c r="K56" s="111"/>
      <c r="L56" s="111"/>
      <c r="M56" s="111"/>
      <c r="N56" s="111"/>
      <c r="O56" s="111"/>
      <c r="P56" s="72"/>
    </row>
    <row r="57" spans="2:17" ht="15" x14ac:dyDescent="0.25">
      <c r="G57" s="109"/>
      <c r="H57" s="111" t="s">
        <v>65</v>
      </c>
      <c r="I57" s="111" t="s">
        <v>66</v>
      </c>
      <c r="J57" s="112" t="s">
        <v>67</v>
      </c>
      <c r="K57" s="112" t="s">
        <v>68</v>
      </c>
      <c r="L57" s="112" t="s">
        <v>45</v>
      </c>
      <c r="M57" s="112" t="s">
        <v>69</v>
      </c>
      <c r="N57" s="112" t="s">
        <v>47</v>
      </c>
      <c r="O57" s="112" t="s">
        <v>70</v>
      </c>
      <c r="P57" s="72"/>
    </row>
    <row r="58" spans="2:17" x14ac:dyDescent="0.2">
      <c r="B58" s="25" t="s">
        <v>291</v>
      </c>
      <c r="C58" s="25"/>
      <c r="D58" s="25"/>
      <c r="E58" s="25"/>
      <c r="F58" s="25"/>
      <c r="G58" s="109" t="s">
        <v>179</v>
      </c>
      <c r="H58" s="113">
        <f>H55+H50</f>
        <v>6637.5</v>
      </c>
      <c r="I58" s="113">
        <f t="shared" ref="I58" si="12">I55+I50</f>
        <v>2175</v>
      </c>
      <c r="J58" s="113">
        <f t="shared" ref="J58:O58" si="13">J55+J50</f>
        <v>0</v>
      </c>
      <c r="K58" s="113">
        <f t="shared" si="13"/>
        <v>6256.25</v>
      </c>
      <c r="L58" s="113">
        <f t="shared" si="13"/>
        <v>1837.5</v>
      </c>
      <c r="M58" s="113">
        <f t="shared" si="13"/>
        <v>6179.75</v>
      </c>
      <c r="N58" s="113">
        <f t="shared" si="13"/>
        <v>0</v>
      </c>
      <c r="O58" s="113">
        <f t="shared" si="13"/>
        <v>7789.0000000000036</v>
      </c>
      <c r="P58" s="73"/>
    </row>
    <row r="59" spans="2:17" x14ac:dyDescent="0.2">
      <c r="B59" s="25"/>
      <c r="C59" s="25"/>
      <c r="D59" s="25"/>
      <c r="E59" s="25"/>
      <c r="F59" s="25"/>
      <c r="G59" s="109"/>
      <c r="H59" s="110"/>
      <c r="I59" s="110"/>
      <c r="J59" s="110"/>
      <c r="K59" s="110"/>
      <c r="L59" s="110"/>
      <c r="M59" s="110"/>
      <c r="N59" s="110"/>
      <c r="O59" s="110"/>
      <c r="P59" s="72"/>
    </row>
    <row r="60" spans="2:17" ht="15" x14ac:dyDescent="0.25">
      <c r="B60" s="25"/>
      <c r="C60" s="25"/>
      <c r="D60" s="25"/>
      <c r="E60" s="25"/>
      <c r="F60" s="25"/>
      <c r="G60" s="109"/>
      <c r="H60" s="111" t="s">
        <v>64</v>
      </c>
      <c r="I60" s="111" t="s">
        <v>64</v>
      </c>
      <c r="J60" s="111"/>
      <c r="K60" s="111"/>
      <c r="L60" s="111"/>
      <c r="M60" s="111"/>
      <c r="N60" s="111"/>
      <c r="O60" s="111"/>
    </row>
    <row r="61" spans="2:17" ht="15" x14ac:dyDescent="0.25">
      <c r="G61" s="109"/>
      <c r="H61" s="111" t="s">
        <v>65</v>
      </c>
      <c r="I61" s="111" t="s">
        <v>66</v>
      </c>
      <c r="J61" s="112" t="s">
        <v>67</v>
      </c>
      <c r="K61" s="112" t="s">
        <v>68</v>
      </c>
      <c r="L61" s="112" t="s">
        <v>45</v>
      </c>
      <c r="M61" s="112" t="s">
        <v>69</v>
      </c>
      <c r="N61" s="112" t="s">
        <v>47</v>
      </c>
      <c r="O61" s="112" t="s">
        <v>138</v>
      </c>
    </row>
    <row r="62" spans="2:17" x14ac:dyDescent="0.2">
      <c r="B62" s="25" t="s">
        <v>292</v>
      </c>
      <c r="C62" s="25"/>
      <c r="D62" s="25"/>
      <c r="E62" s="25"/>
      <c r="F62" s="25"/>
      <c r="G62" s="109" t="s">
        <v>179</v>
      </c>
      <c r="H62" s="113">
        <f>H58</f>
        <v>6637.5</v>
      </c>
      <c r="I62" s="113">
        <f>I58</f>
        <v>2175</v>
      </c>
      <c r="J62" s="113">
        <f>J58+(G21*M2)</f>
        <v>0</v>
      </c>
      <c r="K62" s="113">
        <f>K58+(G29*M2)</f>
        <v>14131.25</v>
      </c>
      <c r="L62" s="113">
        <f>L58+(G30*M2)</f>
        <v>1837.5</v>
      </c>
      <c r="M62" s="113">
        <f>M58+(G31*M2)</f>
        <v>8429.75</v>
      </c>
      <c r="N62" s="113">
        <f>N58+(G32*M2)</f>
        <v>0</v>
      </c>
      <c r="O62" s="113">
        <f>O58+(G39*M2)</f>
        <v>35189</v>
      </c>
      <c r="Q62" s="73"/>
    </row>
    <row r="63" spans="2:17" x14ac:dyDescent="0.2">
      <c r="B63" s="25"/>
      <c r="C63" s="25"/>
      <c r="D63" s="25"/>
      <c r="E63" s="25"/>
      <c r="F63" s="25"/>
      <c r="G63" s="109"/>
      <c r="H63" s="110"/>
      <c r="I63" s="110"/>
      <c r="J63" s="110"/>
      <c r="K63" s="110"/>
      <c r="L63" s="110"/>
      <c r="M63" s="110"/>
      <c r="N63" s="110"/>
      <c r="O63" s="110"/>
      <c r="P63" s="68"/>
    </row>
    <row r="64" spans="2:17" ht="15" x14ac:dyDescent="0.25">
      <c r="B64" s="77" t="str">
        <f>H4</f>
        <v>Option 2</v>
      </c>
      <c r="C64" s="78" t="str">
        <f>H5</f>
        <v>Brong Ahafo</v>
      </c>
      <c r="D64" s="78" t="str">
        <f>H6</f>
        <v>Achievable</v>
      </c>
      <c r="E64" s="79" t="str">
        <f>H7</f>
        <v>Wholesale</v>
      </c>
      <c r="F64" s="25" t="s">
        <v>176</v>
      </c>
      <c r="H64" s="60" t="s">
        <v>64</v>
      </c>
      <c r="I64" s="60" t="s">
        <v>64</v>
      </c>
      <c r="J64" s="60"/>
      <c r="K64" s="60"/>
      <c r="L64" s="60"/>
      <c r="M64" s="60"/>
      <c r="N64" s="60"/>
      <c r="O64" s="60"/>
    </row>
    <row r="65" spans="2:16" ht="15" x14ac:dyDescent="0.25">
      <c r="B65" s="25" t="s">
        <v>97</v>
      </c>
      <c r="G65" s="26" t="s">
        <v>133</v>
      </c>
      <c r="H65" s="60" t="s">
        <v>65</v>
      </c>
      <c r="I65" s="60" t="s">
        <v>66</v>
      </c>
      <c r="J65" s="61" t="s">
        <v>67</v>
      </c>
      <c r="K65" s="61" t="s">
        <v>68</v>
      </c>
      <c r="L65" s="61" t="s">
        <v>45</v>
      </c>
      <c r="M65" s="61" t="s">
        <v>69</v>
      </c>
      <c r="N65" s="61" t="s">
        <v>47</v>
      </c>
      <c r="O65" s="61" t="s">
        <v>70</v>
      </c>
    </row>
    <row r="66" spans="2:16" x14ac:dyDescent="0.2">
      <c r="C66" s="26" t="s">
        <v>76</v>
      </c>
      <c r="G66" s="71"/>
      <c r="J66" s="26" t="s">
        <v>178</v>
      </c>
    </row>
    <row r="67" spans="2:16" x14ac:dyDescent="0.2">
      <c r="C67" s="26" t="s">
        <v>77</v>
      </c>
      <c r="G67" s="108">
        <f>H15*M2</f>
        <v>22500</v>
      </c>
      <c r="H67" s="108">
        <f>$G67*'Break-down of IGS and Deprec'!F77</f>
        <v>5800</v>
      </c>
      <c r="I67" s="108">
        <f>$G67*'Break-down of IGS and Deprec'!G77</f>
        <v>500</v>
      </c>
      <c r="J67" s="108">
        <f>$G67*'Break-down of IGS and Deprec'!H77</f>
        <v>0</v>
      </c>
      <c r="K67" s="108">
        <f>$G67*'Break-down of IGS and Deprec'!I77</f>
        <v>5000</v>
      </c>
      <c r="L67" s="108">
        <f>$G67*'Break-down of IGS and Deprec'!J77</f>
        <v>1000</v>
      </c>
      <c r="M67" s="108">
        <f>$G67*'Break-down of IGS and Deprec'!K77</f>
        <v>4085.9999999999995</v>
      </c>
      <c r="N67" s="108">
        <f>$G67*'Break-down of IGS and Deprec'!L77</f>
        <v>0</v>
      </c>
      <c r="O67" s="108">
        <f>$G67*'Break-down of IGS and Deprec'!M77</f>
        <v>6114.0000000000036</v>
      </c>
      <c r="P67" s="71"/>
    </row>
    <row r="68" spans="2:16" x14ac:dyDescent="0.2">
      <c r="C68" s="26" t="s">
        <v>195</v>
      </c>
      <c r="G68" s="108">
        <f>H16*M2</f>
        <v>0</v>
      </c>
      <c r="H68" s="108">
        <f>$G68*'Break-down of IGS and Deprec'!F78</f>
        <v>0</v>
      </c>
      <c r="I68" s="108">
        <f>$G68*'Break-down of IGS and Deprec'!G78</f>
        <v>0</v>
      </c>
      <c r="J68" s="108">
        <f>$G68*'Break-down of IGS and Deprec'!H78</f>
        <v>0</v>
      </c>
      <c r="K68" s="108">
        <f>$G68*'Break-down of IGS and Deprec'!I78</f>
        <v>0</v>
      </c>
      <c r="L68" s="108">
        <f>$G68*'Break-down of IGS and Deprec'!J78</f>
        <v>0</v>
      </c>
      <c r="M68" s="108">
        <f>$G68*'Break-down of IGS and Deprec'!K78</f>
        <v>0</v>
      </c>
      <c r="N68" s="108">
        <f>$G68*'Break-down of IGS and Deprec'!L78</f>
        <v>0</v>
      </c>
      <c r="O68" s="108">
        <f>$G68*'Break-down of IGS and Deprec'!M78</f>
        <v>0</v>
      </c>
      <c r="P68" s="71"/>
    </row>
    <row r="69" spans="2:16" x14ac:dyDescent="0.2">
      <c r="C69" s="26" t="s">
        <v>196</v>
      </c>
      <c r="G69" s="108">
        <f>H17*M2</f>
        <v>8375</v>
      </c>
      <c r="H69" s="108">
        <f>$G69*'Break-down of IGS and Deprec'!F79</f>
        <v>837.5</v>
      </c>
      <c r="I69" s="108">
        <f>$G69*'Break-down of IGS and Deprec'!G79</f>
        <v>1675</v>
      </c>
      <c r="J69" s="108">
        <f>$G69*'Break-down of IGS and Deprec'!H79</f>
        <v>0</v>
      </c>
      <c r="K69" s="108">
        <f>$G69*'Break-down of IGS and Deprec'!I79</f>
        <v>1256.25</v>
      </c>
      <c r="L69" s="108">
        <f>$G69*'Break-down of IGS and Deprec'!J79</f>
        <v>837.5</v>
      </c>
      <c r="M69" s="108">
        <f>$G69*'Break-down of IGS and Deprec'!K79</f>
        <v>2093.75</v>
      </c>
      <c r="N69" s="108">
        <f>$G69*'Break-down of IGS and Deprec'!L79</f>
        <v>0</v>
      </c>
      <c r="O69" s="108">
        <f>$G69*'Break-down of IGS and Deprec'!M79</f>
        <v>1674.9999999999995</v>
      </c>
      <c r="P69" s="71"/>
    </row>
    <row r="70" spans="2:16" x14ac:dyDescent="0.2">
      <c r="C70" s="26" t="s">
        <v>26</v>
      </c>
      <c r="G70" s="108">
        <f>H18*M2</f>
        <v>0</v>
      </c>
      <c r="H70" s="108">
        <f>$G70*'Break-down of IGS and Deprec'!F80</f>
        <v>0</v>
      </c>
      <c r="I70" s="108">
        <f>$G70*'Break-down of IGS and Deprec'!G80</f>
        <v>0</v>
      </c>
      <c r="J70" s="108">
        <f>$G70*'Break-down of IGS and Deprec'!H80</f>
        <v>0</v>
      </c>
      <c r="K70" s="108">
        <f>$G70*'Break-down of IGS and Deprec'!I80</f>
        <v>0</v>
      </c>
      <c r="L70" s="108">
        <f>$G70*'Break-down of IGS and Deprec'!J80</f>
        <v>0</v>
      </c>
      <c r="M70" s="108">
        <f>$G70*'Break-down of IGS and Deprec'!K80</f>
        <v>0</v>
      </c>
      <c r="N70" s="108">
        <f>$G70*'Break-down of IGS and Deprec'!L80</f>
        <v>0</v>
      </c>
      <c r="O70" s="108">
        <f>$G70*'Break-down of IGS and Deprec'!M80</f>
        <v>0</v>
      </c>
      <c r="P70" s="71"/>
    </row>
    <row r="71" spans="2:16" x14ac:dyDescent="0.2">
      <c r="B71" s="25"/>
      <c r="C71" s="25" t="s">
        <v>27</v>
      </c>
      <c r="D71" s="25"/>
      <c r="E71" s="25"/>
      <c r="F71" s="25"/>
      <c r="G71" s="108">
        <f>SUM(G67:G70)</f>
        <v>30875</v>
      </c>
      <c r="H71" s="108">
        <f>SUM(H67:H70)</f>
        <v>6637.5</v>
      </c>
      <c r="I71" s="108">
        <f t="shared" ref="I71:O71" si="14">SUM(I67:I70)</f>
        <v>2175</v>
      </c>
      <c r="J71" s="108">
        <f t="shared" si="14"/>
        <v>0</v>
      </c>
      <c r="K71" s="108">
        <f t="shared" si="14"/>
        <v>6256.25</v>
      </c>
      <c r="L71" s="108">
        <f t="shared" si="14"/>
        <v>1837.5</v>
      </c>
      <c r="M71" s="108">
        <f t="shared" si="14"/>
        <v>6179.75</v>
      </c>
      <c r="N71" s="108">
        <f t="shared" si="14"/>
        <v>0</v>
      </c>
      <c r="O71" s="108">
        <f t="shared" si="14"/>
        <v>7789.0000000000036</v>
      </c>
      <c r="P71" s="71"/>
    </row>
    <row r="72" spans="2:16" x14ac:dyDescent="0.2">
      <c r="B72" s="25" t="s">
        <v>49</v>
      </c>
      <c r="F72" s="25"/>
      <c r="G72" s="109"/>
      <c r="H72" s="109"/>
      <c r="I72" s="109"/>
      <c r="J72" s="109"/>
      <c r="K72" s="109"/>
      <c r="L72" s="109"/>
      <c r="M72" s="109"/>
      <c r="N72" s="109"/>
      <c r="O72" s="109"/>
      <c r="P72" s="80"/>
    </row>
    <row r="73" spans="2:16" x14ac:dyDescent="0.2">
      <c r="C73" s="26" t="s">
        <v>199</v>
      </c>
      <c r="F73" s="25"/>
      <c r="G73" s="109">
        <v>0</v>
      </c>
      <c r="H73" s="109">
        <f>$G73*'Break-down of IGS and Deprec'!H92</f>
        <v>0</v>
      </c>
      <c r="I73" s="109">
        <f>$G73*'Break-down of IGS and Deprec'!I92</f>
        <v>0</v>
      </c>
      <c r="J73" s="109">
        <f>$G73*'Break-down of IGS and Deprec'!J92</f>
        <v>0</v>
      </c>
      <c r="K73" s="109">
        <f>$G73*'Break-down of IGS and Deprec'!K92</f>
        <v>0</v>
      </c>
      <c r="L73" s="109">
        <f>$G73*'Break-down of IGS and Deprec'!L92</f>
        <v>0</v>
      </c>
      <c r="M73" s="109">
        <f>$G73*'Break-down of IGS and Deprec'!M92</f>
        <v>0</v>
      </c>
      <c r="N73" s="109">
        <f>$G73*'Break-down of IGS and Deprec'!N92</f>
        <v>0</v>
      </c>
      <c r="O73" s="109">
        <f>$G73*'Break-down of IGS and Deprec'!O92</f>
        <v>0</v>
      </c>
      <c r="P73" s="80"/>
    </row>
    <row r="74" spans="2:16" x14ac:dyDescent="0.2">
      <c r="C74" s="26" t="s">
        <v>26</v>
      </c>
      <c r="F74" s="25"/>
      <c r="G74" s="109">
        <f>H36*M2</f>
        <v>0</v>
      </c>
      <c r="H74" s="109">
        <f>$G74*'Break-down of IGS and Deprec'!H93</f>
        <v>0</v>
      </c>
      <c r="I74" s="109">
        <f>$G74*'Break-down of IGS and Deprec'!I93</f>
        <v>0</v>
      </c>
      <c r="J74" s="109">
        <f>$G74*'Break-down of IGS and Deprec'!J93</f>
        <v>0</v>
      </c>
      <c r="K74" s="109">
        <f>$G74*'Break-down of IGS and Deprec'!K93</f>
        <v>0</v>
      </c>
      <c r="L74" s="109">
        <f>$G74*'Break-down of IGS and Deprec'!L93</f>
        <v>0</v>
      </c>
      <c r="M74" s="109">
        <f>$G74*'Break-down of IGS and Deprec'!M93</f>
        <v>0</v>
      </c>
      <c r="N74" s="109">
        <f>$G74*'Break-down of IGS and Deprec'!N93</f>
        <v>0</v>
      </c>
      <c r="O74" s="109">
        <f>$G74*'Break-down of IGS and Deprec'!O93</f>
        <v>0</v>
      </c>
      <c r="P74" s="80"/>
    </row>
    <row r="75" spans="2:16" x14ac:dyDescent="0.2">
      <c r="C75" s="26" t="s">
        <v>26</v>
      </c>
      <c r="F75" s="25"/>
      <c r="G75" s="109">
        <f>H37*M2</f>
        <v>0</v>
      </c>
      <c r="H75" s="109">
        <f>$G75*'Break-down of IGS and Deprec'!H94</f>
        <v>0</v>
      </c>
      <c r="I75" s="109">
        <f>$G75*'Break-down of IGS and Deprec'!I94</f>
        <v>0</v>
      </c>
      <c r="J75" s="109">
        <f>$G75*'Break-down of IGS and Deprec'!J94</f>
        <v>0</v>
      </c>
      <c r="K75" s="109">
        <f>$G75*'Break-down of IGS and Deprec'!K94</f>
        <v>0</v>
      </c>
      <c r="L75" s="109">
        <f>$G75*'Break-down of IGS and Deprec'!L94</f>
        <v>0</v>
      </c>
      <c r="M75" s="109">
        <f>$G75*'Break-down of IGS and Deprec'!M94</f>
        <v>0</v>
      </c>
      <c r="N75" s="109">
        <f>$G75*'Break-down of IGS and Deprec'!N94</f>
        <v>0</v>
      </c>
      <c r="O75" s="109">
        <f>$G75*'Break-down of IGS and Deprec'!O94</f>
        <v>0</v>
      </c>
      <c r="P75" s="80"/>
    </row>
    <row r="76" spans="2:16" x14ac:dyDescent="0.2">
      <c r="C76" s="25" t="s">
        <v>52</v>
      </c>
      <c r="F76" s="25"/>
      <c r="G76" s="109">
        <f>SUM(G73:G75)</f>
        <v>0</v>
      </c>
      <c r="H76" s="109">
        <f t="shared" ref="H76:O76" si="15">SUM(H73:H75)</f>
        <v>0</v>
      </c>
      <c r="I76" s="109">
        <f t="shared" si="15"/>
        <v>0</v>
      </c>
      <c r="J76" s="109">
        <f t="shared" si="15"/>
        <v>0</v>
      </c>
      <c r="K76" s="109">
        <f t="shared" si="15"/>
        <v>0</v>
      </c>
      <c r="L76" s="109">
        <f t="shared" si="15"/>
        <v>0</v>
      </c>
      <c r="M76" s="109">
        <f t="shared" si="15"/>
        <v>0</v>
      </c>
      <c r="N76" s="109">
        <f t="shared" si="15"/>
        <v>0</v>
      </c>
      <c r="O76" s="109">
        <f t="shared" si="15"/>
        <v>0</v>
      </c>
      <c r="P76" s="80"/>
    </row>
    <row r="77" spans="2:16" ht="15" x14ac:dyDescent="0.25">
      <c r="B77" s="25"/>
      <c r="C77" s="25"/>
      <c r="D77" s="25"/>
      <c r="G77" s="109"/>
      <c r="H77" s="111" t="s">
        <v>64</v>
      </c>
      <c r="I77" s="111" t="s">
        <v>64</v>
      </c>
      <c r="J77" s="111"/>
      <c r="K77" s="111"/>
      <c r="L77" s="111"/>
      <c r="M77" s="111"/>
      <c r="N77" s="111"/>
      <c r="O77" s="111"/>
      <c r="P77" s="72"/>
    </row>
    <row r="78" spans="2:16" ht="15" x14ac:dyDescent="0.25">
      <c r="G78" s="109"/>
      <c r="H78" s="111" t="s">
        <v>65</v>
      </c>
      <c r="I78" s="111" t="s">
        <v>66</v>
      </c>
      <c r="J78" s="112" t="s">
        <v>67</v>
      </c>
      <c r="K78" s="112" t="s">
        <v>68</v>
      </c>
      <c r="L78" s="112" t="s">
        <v>45</v>
      </c>
      <c r="M78" s="112" t="s">
        <v>69</v>
      </c>
      <c r="N78" s="112" t="s">
        <v>47</v>
      </c>
      <c r="O78" s="112" t="s">
        <v>70</v>
      </c>
      <c r="P78" s="72"/>
    </row>
    <row r="79" spans="2:16" x14ac:dyDescent="0.2">
      <c r="B79" s="25" t="s">
        <v>297</v>
      </c>
      <c r="C79" s="25"/>
      <c r="D79" s="25"/>
      <c r="E79" s="25"/>
      <c r="F79" s="25"/>
      <c r="G79" s="109" t="s">
        <v>179</v>
      </c>
      <c r="H79" s="113">
        <f>H76+H71</f>
        <v>6637.5</v>
      </c>
      <c r="I79" s="113">
        <f t="shared" ref="I79" si="16">I76+I71</f>
        <v>2175</v>
      </c>
      <c r="J79" s="113">
        <f t="shared" ref="J79:O79" si="17">J76+J71</f>
        <v>0</v>
      </c>
      <c r="K79" s="113">
        <f t="shared" si="17"/>
        <v>6256.25</v>
      </c>
      <c r="L79" s="113">
        <f t="shared" si="17"/>
        <v>1837.5</v>
      </c>
      <c r="M79" s="113">
        <f t="shared" si="17"/>
        <v>6179.75</v>
      </c>
      <c r="N79" s="113">
        <f t="shared" si="17"/>
        <v>0</v>
      </c>
      <c r="O79" s="113">
        <f t="shared" si="17"/>
        <v>7789.0000000000036</v>
      </c>
      <c r="P79" s="73"/>
    </row>
    <row r="80" spans="2:16" x14ac:dyDescent="0.2">
      <c r="B80" s="25"/>
      <c r="C80" s="25"/>
      <c r="D80" s="25"/>
      <c r="E80" s="25"/>
      <c r="F80" s="25"/>
      <c r="G80" s="109"/>
      <c r="H80" s="110"/>
      <c r="I80" s="110"/>
      <c r="J80" s="110"/>
      <c r="K80" s="110"/>
      <c r="L80" s="110"/>
      <c r="M80" s="110"/>
      <c r="N80" s="110"/>
      <c r="O80" s="110"/>
      <c r="P80" s="72"/>
    </row>
    <row r="81" spans="2:15" ht="15" x14ac:dyDescent="0.25">
      <c r="B81" s="25"/>
      <c r="C81" s="25"/>
      <c r="D81" s="25"/>
      <c r="E81" s="25"/>
      <c r="F81" s="25"/>
      <c r="G81" s="109"/>
      <c r="H81" s="111" t="s">
        <v>64</v>
      </c>
      <c r="I81" s="111" t="s">
        <v>64</v>
      </c>
      <c r="J81" s="111"/>
      <c r="K81" s="111"/>
      <c r="L81" s="111"/>
      <c r="M81" s="111"/>
      <c r="N81" s="111"/>
      <c r="O81" s="111"/>
    </row>
    <row r="82" spans="2:15" ht="15" x14ac:dyDescent="0.25">
      <c r="G82" s="109"/>
      <c r="H82" s="111" t="s">
        <v>65</v>
      </c>
      <c r="I82" s="111" t="s">
        <v>66</v>
      </c>
      <c r="J82" s="112" t="s">
        <v>67</v>
      </c>
      <c r="K82" s="112" t="s">
        <v>68</v>
      </c>
      <c r="L82" s="112" t="s">
        <v>45</v>
      </c>
      <c r="M82" s="112" t="s">
        <v>69</v>
      </c>
      <c r="N82" s="112" t="s">
        <v>47</v>
      </c>
      <c r="O82" s="112" t="s">
        <v>138</v>
      </c>
    </row>
    <row r="83" spans="2:15" x14ac:dyDescent="0.2">
      <c r="B83" s="25" t="s">
        <v>298</v>
      </c>
      <c r="C83" s="25"/>
      <c r="D83" s="25"/>
      <c r="E83" s="25"/>
      <c r="F83" s="25"/>
      <c r="G83" s="109" t="s">
        <v>179</v>
      </c>
      <c r="H83" s="113">
        <f>H79</f>
        <v>6637.5</v>
      </c>
      <c r="I83" s="113">
        <f>I79</f>
        <v>2175</v>
      </c>
      <c r="J83" s="113">
        <f>J79+(H21*M2)</f>
        <v>0</v>
      </c>
      <c r="K83" s="113">
        <f>K79+(H29*M2)</f>
        <v>14131.25</v>
      </c>
      <c r="L83" s="113">
        <f>L79+(H30*M2)</f>
        <v>1837.5</v>
      </c>
      <c r="M83" s="113">
        <f>M79+(H31*M2)</f>
        <v>8429.75</v>
      </c>
      <c r="N83" s="113">
        <f>N79+(H32*M2)</f>
        <v>0</v>
      </c>
      <c r="O83" s="113">
        <f>O79+(H39*M2)</f>
        <v>42389</v>
      </c>
    </row>
  </sheetData>
  <mergeCells count="1">
    <mergeCell ref="E2:F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94"/>
  <sheetViews>
    <sheetView workbookViewId="0"/>
  </sheetViews>
  <sheetFormatPr defaultColWidth="8.85546875" defaultRowHeight="15" x14ac:dyDescent="0.25"/>
  <cols>
    <col min="1" max="1" width="3" style="6" customWidth="1"/>
    <col min="2" max="14" width="12.7109375" style="6" customWidth="1"/>
    <col min="15" max="16384" width="8.85546875" style="6"/>
  </cols>
  <sheetData>
    <row r="1" spans="2:14" ht="18.75" x14ac:dyDescent="0.3">
      <c r="B1" s="12" t="s">
        <v>318</v>
      </c>
    </row>
    <row r="2" spans="2:14" x14ac:dyDescent="0.25">
      <c r="L2" s="137"/>
      <c r="M2" s="137"/>
      <c r="N2" s="137"/>
    </row>
    <row r="3" spans="2:14" x14ac:dyDescent="0.25">
      <c r="B3" s="7" t="s">
        <v>63</v>
      </c>
    </row>
    <row r="4" spans="2:14" x14ac:dyDescent="0.25">
      <c r="E4" s="83"/>
      <c r="F4" s="83" t="s">
        <v>64</v>
      </c>
      <c r="G4" s="83" t="s">
        <v>64</v>
      </c>
      <c r="H4" s="83"/>
      <c r="I4" s="83"/>
      <c r="J4" s="83"/>
      <c r="K4" s="83"/>
      <c r="L4" s="83"/>
      <c r="M4" s="83"/>
    </row>
    <row r="5" spans="2:14" x14ac:dyDescent="0.25">
      <c r="E5" s="83" t="s">
        <v>128</v>
      </c>
      <c r="F5" s="83" t="s">
        <v>65</v>
      </c>
      <c r="G5" s="83" t="s">
        <v>66</v>
      </c>
      <c r="H5" s="83" t="s">
        <v>67</v>
      </c>
      <c r="I5" s="83" t="s">
        <v>68</v>
      </c>
      <c r="J5" s="74" t="s">
        <v>287</v>
      </c>
      <c r="K5" s="83" t="s">
        <v>69</v>
      </c>
      <c r="L5" s="83" t="s">
        <v>47</v>
      </c>
      <c r="M5" s="83" t="s">
        <v>70</v>
      </c>
      <c r="N5" s="83"/>
    </row>
    <row r="6" spans="2:14" x14ac:dyDescent="0.25">
      <c r="B6" s="26" t="s">
        <v>15</v>
      </c>
      <c r="C6" s="26"/>
      <c r="D6" s="26"/>
      <c r="E6" s="32">
        <v>20</v>
      </c>
      <c r="F6" s="93"/>
      <c r="G6" s="93">
        <v>12</v>
      </c>
      <c r="H6" s="93"/>
      <c r="I6" s="93">
        <v>2.5</v>
      </c>
      <c r="J6" s="93"/>
      <c r="K6" s="93"/>
      <c r="L6" s="93"/>
      <c r="M6" s="93">
        <f>E6-F6-G6-H6-I6-J6-K6-L6</f>
        <v>5.5</v>
      </c>
      <c r="N6" s="84"/>
    </row>
    <row r="7" spans="2:14" x14ac:dyDescent="0.25">
      <c r="B7" s="26" t="s">
        <v>16</v>
      </c>
      <c r="C7" s="26"/>
      <c r="D7" s="26"/>
      <c r="E7" s="32">
        <v>50</v>
      </c>
      <c r="F7" s="93">
        <f>10+2.8</f>
        <v>12.8</v>
      </c>
      <c r="G7" s="93"/>
      <c r="H7" s="93"/>
      <c r="I7" s="93">
        <f>15+2</f>
        <v>17</v>
      </c>
      <c r="J7" s="93"/>
      <c r="K7" s="93">
        <f>5*0.24</f>
        <v>1.2</v>
      </c>
      <c r="L7" s="93"/>
      <c r="M7" s="93">
        <f t="shared" ref="M7:M17" si="0">E7-F7-G7-H7-I7-J7-K7-L7</f>
        <v>19.000000000000004</v>
      </c>
      <c r="N7" s="49"/>
    </row>
    <row r="8" spans="2:14" x14ac:dyDescent="0.25">
      <c r="B8" s="26" t="s">
        <v>17</v>
      </c>
      <c r="C8" s="26"/>
      <c r="D8" s="26"/>
      <c r="E8" s="32">
        <f>400/2.5</f>
        <v>160</v>
      </c>
      <c r="F8" s="93"/>
      <c r="G8" s="93">
        <f>8/2.5</f>
        <v>3.2</v>
      </c>
      <c r="H8" s="93">
        <f>Production!G33/10</f>
        <v>10</v>
      </c>
      <c r="I8" s="93">
        <f>Production!G49/10</f>
        <v>129</v>
      </c>
      <c r="J8" s="93"/>
      <c r="K8" s="93"/>
      <c r="L8" s="93"/>
      <c r="M8" s="93">
        <f t="shared" si="0"/>
        <v>17.800000000000011</v>
      </c>
      <c r="N8" s="84"/>
    </row>
    <row r="9" spans="2:14" x14ac:dyDescent="0.25">
      <c r="B9" s="26" t="s">
        <v>18</v>
      </c>
      <c r="C9" s="26"/>
      <c r="D9" s="26"/>
      <c r="E9" s="32">
        <v>90</v>
      </c>
      <c r="F9" s="93">
        <f>20+11.56+3.75</f>
        <v>35.31</v>
      </c>
      <c r="G9" s="93"/>
      <c r="H9" s="93"/>
      <c r="I9" s="93">
        <f>7+2+5</f>
        <v>14</v>
      </c>
      <c r="J9" s="93">
        <v>6</v>
      </c>
      <c r="K9" s="93">
        <v>4.9000000000000004</v>
      </c>
      <c r="L9" s="93"/>
      <c r="M9" s="93">
        <f t="shared" si="0"/>
        <v>29.79</v>
      </c>
      <c r="N9" s="84"/>
    </row>
    <row r="10" spans="2:14" x14ac:dyDescent="0.25">
      <c r="B10" s="26" t="s">
        <v>71</v>
      </c>
      <c r="C10" s="26"/>
      <c r="D10" s="26"/>
      <c r="E10" s="32">
        <f>12*4</f>
        <v>48</v>
      </c>
      <c r="F10" s="93">
        <f>6.5*4</f>
        <v>26</v>
      </c>
      <c r="G10" s="93"/>
      <c r="H10" s="93"/>
      <c r="I10" s="93">
        <f>0.33*4</f>
        <v>1.32</v>
      </c>
      <c r="J10" s="93">
        <f>1.5*4</f>
        <v>6</v>
      </c>
      <c r="K10" s="93"/>
      <c r="L10" s="93"/>
      <c r="M10" s="93">
        <f t="shared" si="0"/>
        <v>14.68</v>
      </c>
      <c r="N10" s="84"/>
    </row>
    <row r="11" spans="2:14" x14ac:dyDescent="0.25">
      <c r="B11" s="26" t="s">
        <v>284</v>
      </c>
      <c r="C11" s="26"/>
      <c r="D11" s="26"/>
      <c r="E11" s="32">
        <f>18*2</f>
        <v>36</v>
      </c>
      <c r="F11" s="93">
        <f>9.5*2</f>
        <v>19</v>
      </c>
      <c r="G11" s="93">
        <f>2.2*2</f>
        <v>4.4000000000000004</v>
      </c>
      <c r="H11" s="93"/>
      <c r="I11" s="93">
        <f>0.5*2</f>
        <v>1</v>
      </c>
      <c r="J11" s="93"/>
      <c r="K11" s="93"/>
      <c r="L11" s="93"/>
      <c r="M11" s="93">
        <f t="shared" si="0"/>
        <v>11.6</v>
      </c>
      <c r="N11" s="84"/>
    </row>
    <row r="12" spans="2:14" x14ac:dyDescent="0.25">
      <c r="B12" s="26" t="s">
        <v>288</v>
      </c>
      <c r="C12" s="26"/>
      <c r="D12" s="26"/>
      <c r="E12" s="32">
        <v>450</v>
      </c>
      <c r="F12" s="93">
        <f>30+86</f>
        <v>116</v>
      </c>
      <c r="G12" s="93">
        <v>10</v>
      </c>
      <c r="H12" s="93"/>
      <c r="I12" s="93">
        <v>100</v>
      </c>
      <c r="J12" s="93">
        <f>24000/4/6/50</f>
        <v>20</v>
      </c>
      <c r="K12" s="93">
        <f>(153*0.24)+45</f>
        <v>81.72</v>
      </c>
      <c r="L12" s="93"/>
      <c r="M12" s="93">
        <f t="shared" si="0"/>
        <v>122.28</v>
      </c>
      <c r="N12" s="84"/>
    </row>
    <row r="13" spans="2:14" x14ac:dyDescent="0.25">
      <c r="B13" s="26" t="s">
        <v>72</v>
      </c>
      <c r="C13" s="26"/>
      <c r="D13" s="26"/>
      <c r="E13" s="32">
        <v>3.41</v>
      </c>
      <c r="F13" s="93">
        <f>3.41*0.56</f>
        <v>1.9096000000000002</v>
      </c>
      <c r="G13" s="93"/>
      <c r="H13" s="93"/>
      <c r="I13" s="93">
        <f>E13*0.1</f>
        <v>0.34100000000000003</v>
      </c>
      <c r="J13" s="93"/>
      <c r="K13" s="93">
        <f>E13*0.24</f>
        <v>0.81840000000000002</v>
      </c>
      <c r="L13" s="93"/>
      <c r="M13" s="93">
        <f t="shared" si="0"/>
        <v>0.34099999999999997</v>
      </c>
      <c r="N13" s="84"/>
    </row>
    <row r="14" spans="2:14" x14ac:dyDescent="0.25">
      <c r="B14" s="26" t="s">
        <v>73</v>
      </c>
      <c r="C14" s="26"/>
      <c r="D14" s="26"/>
      <c r="E14" s="32">
        <v>1</v>
      </c>
      <c r="F14" s="93">
        <v>0.1</v>
      </c>
      <c r="G14" s="93">
        <v>0.5</v>
      </c>
      <c r="H14" s="93"/>
      <c r="I14" s="93">
        <v>0.05</v>
      </c>
      <c r="J14" s="93">
        <v>0.12</v>
      </c>
      <c r="K14" s="93"/>
      <c r="L14" s="93"/>
      <c r="M14" s="93">
        <f t="shared" si="0"/>
        <v>0.23000000000000004</v>
      </c>
      <c r="N14" s="84"/>
    </row>
    <row r="15" spans="2:14" x14ac:dyDescent="0.25">
      <c r="B15" s="6" t="s">
        <v>74</v>
      </c>
      <c r="E15" s="93">
        <v>1</v>
      </c>
      <c r="F15" s="93">
        <v>0.1</v>
      </c>
      <c r="G15" s="93">
        <v>0.5</v>
      </c>
      <c r="H15" s="93"/>
      <c r="I15" s="93">
        <v>0.05</v>
      </c>
      <c r="J15" s="93">
        <v>0.12</v>
      </c>
      <c r="K15" s="93"/>
      <c r="L15" s="93"/>
      <c r="M15" s="93">
        <f t="shared" si="0"/>
        <v>0.23000000000000004</v>
      </c>
      <c r="N15" s="84"/>
    </row>
    <row r="16" spans="2:14" x14ac:dyDescent="0.25">
      <c r="B16" s="6" t="s">
        <v>289</v>
      </c>
      <c r="E16" s="95">
        <v>200</v>
      </c>
      <c r="F16" s="93">
        <v>54.69</v>
      </c>
      <c r="G16" s="93">
        <v>4</v>
      </c>
      <c r="H16" s="93"/>
      <c r="I16" s="93">
        <f>40+16+3</f>
        <v>59</v>
      </c>
      <c r="J16" s="93">
        <v>6.75</v>
      </c>
      <c r="K16" s="93">
        <f>7.37+1+1+2</f>
        <v>11.370000000000001</v>
      </c>
      <c r="L16" s="93"/>
      <c r="M16" s="93">
        <f t="shared" si="0"/>
        <v>64.19</v>
      </c>
      <c r="N16" s="84"/>
    </row>
    <row r="17" spans="2:14" x14ac:dyDescent="0.25">
      <c r="B17" s="6" t="s">
        <v>26</v>
      </c>
      <c r="E17" s="93">
        <v>730</v>
      </c>
      <c r="F17" s="93"/>
      <c r="G17" s="93"/>
      <c r="H17" s="93"/>
      <c r="I17" s="93"/>
      <c r="J17" s="93"/>
      <c r="K17" s="93"/>
      <c r="L17" s="93"/>
      <c r="M17" s="93">
        <f t="shared" si="0"/>
        <v>730</v>
      </c>
      <c r="N17" s="84"/>
    </row>
    <row r="18" spans="2:14" x14ac:dyDescent="0.25">
      <c r="E18" s="6" t="s">
        <v>283</v>
      </c>
    </row>
    <row r="20" spans="2:14" x14ac:dyDescent="0.25">
      <c r="B20" s="7" t="s">
        <v>63</v>
      </c>
      <c r="I20" s="138" t="s">
        <v>129</v>
      </c>
      <c r="J20" s="138"/>
      <c r="K20" s="138"/>
      <c r="L20" s="138"/>
    </row>
    <row r="21" spans="2:14" x14ac:dyDescent="0.25">
      <c r="F21" s="6" t="s">
        <v>64</v>
      </c>
      <c r="G21" s="6" t="s">
        <v>64</v>
      </c>
    </row>
    <row r="22" spans="2:14" x14ac:dyDescent="0.25">
      <c r="E22" s="6" t="s">
        <v>128</v>
      </c>
      <c r="F22" s="6" t="s">
        <v>65</v>
      </c>
      <c r="G22" s="6" t="s">
        <v>66</v>
      </c>
      <c r="H22" s="6" t="s">
        <v>67</v>
      </c>
      <c r="I22" s="6" t="s">
        <v>68</v>
      </c>
      <c r="J22" s="6" t="s">
        <v>45</v>
      </c>
      <c r="K22" s="6" t="s">
        <v>69</v>
      </c>
      <c r="L22" s="6" t="s">
        <v>47</v>
      </c>
      <c r="M22" s="6" t="s">
        <v>70</v>
      </c>
      <c r="N22" s="83"/>
    </row>
    <row r="23" spans="2:14" x14ac:dyDescent="0.25">
      <c r="B23" s="26" t="s">
        <v>15</v>
      </c>
      <c r="C23" s="26"/>
      <c r="D23" s="26"/>
      <c r="E23" s="94">
        <f>E6</f>
        <v>20</v>
      </c>
      <c r="F23" s="91">
        <f>F6/$E23</f>
        <v>0</v>
      </c>
      <c r="G23" s="91">
        <f t="shared" ref="G23:M23" si="1">G6/$E23</f>
        <v>0.6</v>
      </c>
      <c r="H23" s="91">
        <f t="shared" si="1"/>
        <v>0</v>
      </c>
      <c r="I23" s="91">
        <f t="shared" si="1"/>
        <v>0.125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0.27500000000000002</v>
      </c>
      <c r="N23" s="84"/>
    </row>
    <row r="24" spans="2:14" x14ac:dyDescent="0.25">
      <c r="B24" s="26" t="s">
        <v>16</v>
      </c>
      <c r="C24" s="26"/>
      <c r="D24" s="26"/>
      <c r="E24" s="94">
        <f t="shared" ref="E24:E34" si="2">E7</f>
        <v>50</v>
      </c>
      <c r="F24" s="91">
        <f t="shared" ref="F24:F34" si="3">F7/E24</f>
        <v>0.25600000000000001</v>
      </c>
      <c r="G24" s="91">
        <f t="shared" ref="G24:M24" si="4">G7/$E24</f>
        <v>0</v>
      </c>
      <c r="H24" s="91">
        <f t="shared" si="4"/>
        <v>0</v>
      </c>
      <c r="I24" s="91">
        <f t="shared" si="4"/>
        <v>0.34</v>
      </c>
      <c r="J24" s="91">
        <f t="shared" si="4"/>
        <v>0</v>
      </c>
      <c r="K24" s="91">
        <f t="shared" si="4"/>
        <v>2.4E-2</v>
      </c>
      <c r="L24" s="91">
        <f t="shared" si="4"/>
        <v>0</v>
      </c>
      <c r="M24" s="91">
        <f t="shared" si="4"/>
        <v>0.38000000000000006</v>
      </c>
      <c r="N24" s="84"/>
    </row>
    <row r="25" spans="2:14" x14ac:dyDescent="0.25">
      <c r="B25" s="26" t="s">
        <v>17</v>
      </c>
      <c r="C25" s="26"/>
      <c r="D25" s="26"/>
      <c r="E25" s="94">
        <f t="shared" si="2"/>
        <v>160</v>
      </c>
      <c r="F25" s="91">
        <f t="shared" si="3"/>
        <v>0</v>
      </c>
      <c r="G25" s="91">
        <f t="shared" ref="G25:M25" si="5">G8/$E25</f>
        <v>0.02</v>
      </c>
      <c r="H25" s="91">
        <f t="shared" si="5"/>
        <v>6.25E-2</v>
      </c>
      <c r="I25" s="91">
        <f t="shared" si="5"/>
        <v>0.80625000000000002</v>
      </c>
      <c r="J25" s="91">
        <f t="shared" si="5"/>
        <v>0</v>
      </c>
      <c r="K25" s="91">
        <f t="shared" si="5"/>
        <v>0</v>
      </c>
      <c r="L25" s="91">
        <f t="shared" si="5"/>
        <v>0</v>
      </c>
      <c r="M25" s="91">
        <f t="shared" si="5"/>
        <v>0.11125000000000007</v>
      </c>
      <c r="N25" s="84"/>
    </row>
    <row r="26" spans="2:14" x14ac:dyDescent="0.25">
      <c r="B26" s="26" t="s">
        <v>18</v>
      </c>
      <c r="C26" s="26"/>
      <c r="D26" s="26"/>
      <c r="E26" s="94">
        <f t="shared" si="2"/>
        <v>90</v>
      </c>
      <c r="F26" s="91">
        <f t="shared" si="3"/>
        <v>0.39233333333333337</v>
      </c>
      <c r="G26" s="91">
        <f t="shared" ref="G26:M26" si="6">G9/$E26</f>
        <v>0</v>
      </c>
      <c r="H26" s="91">
        <f t="shared" si="6"/>
        <v>0</v>
      </c>
      <c r="I26" s="91">
        <f t="shared" si="6"/>
        <v>0.15555555555555556</v>
      </c>
      <c r="J26" s="91">
        <f t="shared" si="6"/>
        <v>6.6666666666666666E-2</v>
      </c>
      <c r="K26" s="91">
        <f t="shared" si="6"/>
        <v>5.4444444444444448E-2</v>
      </c>
      <c r="L26" s="91">
        <f t="shared" si="6"/>
        <v>0</v>
      </c>
      <c r="M26" s="91">
        <f t="shared" si="6"/>
        <v>0.33100000000000002</v>
      </c>
      <c r="N26" s="84"/>
    </row>
    <row r="27" spans="2:14" x14ac:dyDescent="0.25">
      <c r="B27" s="26" t="s">
        <v>71</v>
      </c>
      <c r="C27" s="26"/>
      <c r="D27" s="26"/>
      <c r="E27" s="94">
        <f t="shared" si="2"/>
        <v>48</v>
      </c>
      <c r="F27" s="91">
        <f t="shared" si="3"/>
        <v>0.54166666666666663</v>
      </c>
      <c r="G27" s="91">
        <f t="shared" ref="G27:M27" si="7">G10/$E27</f>
        <v>0</v>
      </c>
      <c r="H27" s="91">
        <f t="shared" si="7"/>
        <v>0</v>
      </c>
      <c r="I27" s="91">
        <f t="shared" si="7"/>
        <v>2.75E-2</v>
      </c>
      <c r="J27" s="91">
        <f t="shared" si="7"/>
        <v>0.125</v>
      </c>
      <c r="K27" s="91">
        <f t="shared" si="7"/>
        <v>0</v>
      </c>
      <c r="L27" s="91">
        <f t="shared" si="7"/>
        <v>0</v>
      </c>
      <c r="M27" s="91">
        <f t="shared" si="7"/>
        <v>0.30583333333333335</v>
      </c>
      <c r="N27" s="84"/>
    </row>
    <row r="28" spans="2:14" x14ac:dyDescent="0.25">
      <c r="B28" s="26" t="s">
        <v>284</v>
      </c>
      <c r="C28" s="26"/>
      <c r="D28" s="26"/>
      <c r="E28" s="94">
        <f t="shared" si="2"/>
        <v>36</v>
      </c>
      <c r="F28" s="91">
        <f t="shared" si="3"/>
        <v>0.52777777777777779</v>
      </c>
      <c r="G28" s="91">
        <f t="shared" ref="G28:M28" si="8">G11/$E28</f>
        <v>0.12222222222222223</v>
      </c>
      <c r="H28" s="91">
        <f t="shared" si="8"/>
        <v>0</v>
      </c>
      <c r="I28" s="91">
        <f t="shared" si="8"/>
        <v>2.7777777777777776E-2</v>
      </c>
      <c r="J28" s="91">
        <f t="shared" si="8"/>
        <v>0</v>
      </c>
      <c r="K28" s="91">
        <f t="shared" si="8"/>
        <v>0</v>
      </c>
      <c r="L28" s="91">
        <f t="shared" si="8"/>
        <v>0</v>
      </c>
      <c r="M28" s="91">
        <f t="shared" si="8"/>
        <v>0.32222222222222219</v>
      </c>
      <c r="N28" s="84"/>
    </row>
    <row r="29" spans="2:14" x14ac:dyDescent="0.25">
      <c r="B29" s="26" t="s">
        <v>23</v>
      </c>
      <c r="C29" s="26"/>
      <c r="D29" s="26"/>
      <c r="E29" s="94">
        <f t="shared" si="2"/>
        <v>450</v>
      </c>
      <c r="F29" s="91">
        <f>F12/E29</f>
        <v>0.25777777777777777</v>
      </c>
      <c r="G29" s="91">
        <f t="shared" ref="G29:M29" si="9">G12/$E29</f>
        <v>2.2222222222222223E-2</v>
      </c>
      <c r="H29" s="91">
        <f t="shared" si="9"/>
        <v>0</v>
      </c>
      <c r="I29" s="91">
        <f t="shared" si="9"/>
        <v>0.22222222222222221</v>
      </c>
      <c r="J29" s="91">
        <f t="shared" si="9"/>
        <v>4.4444444444444446E-2</v>
      </c>
      <c r="K29" s="91">
        <f t="shared" si="9"/>
        <v>0.18159999999999998</v>
      </c>
      <c r="L29" s="91">
        <f t="shared" si="9"/>
        <v>0</v>
      </c>
      <c r="M29" s="91">
        <f t="shared" si="9"/>
        <v>0.27173333333333333</v>
      </c>
      <c r="N29" s="84"/>
    </row>
    <row r="30" spans="2:14" x14ac:dyDescent="0.25">
      <c r="B30" s="26" t="s">
        <v>72</v>
      </c>
      <c r="C30" s="26"/>
      <c r="D30" s="26"/>
      <c r="E30" s="94">
        <f t="shared" si="2"/>
        <v>3.41</v>
      </c>
      <c r="F30" s="91">
        <f t="shared" si="3"/>
        <v>0.56000000000000005</v>
      </c>
      <c r="G30" s="91">
        <f t="shared" ref="G30:M30" si="10">G13/$E30</f>
        <v>0</v>
      </c>
      <c r="H30" s="91">
        <f t="shared" si="10"/>
        <v>0</v>
      </c>
      <c r="I30" s="91">
        <f t="shared" si="10"/>
        <v>0.1</v>
      </c>
      <c r="J30" s="91">
        <f t="shared" si="10"/>
        <v>0</v>
      </c>
      <c r="K30" s="91">
        <f t="shared" si="10"/>
        <v>0.24</v>
      </c>
      <c r="L30" s="91">
        <f t="shared" si="10"/>
        <v>0</v>
      </c>
      <c r="M30" s="91">
        <f t="shared" si="10"/>
        <v>9.9999999999999992E-2</v>
      </c>
      <c r="N30" s="84"/>
    </row>
    <row r="31" spans="2:14" x14ac:dyDescent="0.25">
      <c r="B31" s="26" t="s">
        <v>73</v>
      </c>
      <c r="C31" s="26"/>
      <c r="D31" s="26"/>
      <c r="E31" s="94">
        <f t="shared" si="2"/>
        <v>1</v>
      </c>
      <c r="F31" s="91">
        <f t="shared" si="3"/>
        <v>0.1</v>
      </c>
      <c r="G31" s="91">
        <f t="shared" ref="G31:M31" si="11">G14/$E31</f>
        <v>0.5</v>
      </c>
      <c r="H31" s="91">
        <f t="shared" si="11"/>
        <v>0</v>
      </c>
      <c r="I31" s="91">
        <f t="shared" si="11"/>
        <v>0.05</v>
      </c>
      <c r="J31" s="91">
        <f t="shared" si="11"/>
        <v>0.12</v>
      </c>
      <c r="K31" s="91">
        <f t="shared" si="11"/>
        <v>0</v>
      </c>
      <c r="L31" s="91">
        <f t="shared" si="11"/>
        <v>0</v>
      </c>
      <c r="M31" s="91">
        <f t="shared" si="11"/>
        <v>0.23000000000000004</v>
      </c>
      <c r="N31" s="84"/>
    </row>
    <row r="32" spans="2:14" x14ac:dyDescent="0.25">
      <c r="B32" s="6" t="s">
        <v>74</v>
      </c>
      <c r="E32" s="94">
        <f t="shared" si="2"/>
        <v>1</v>
      </c>
      <c r="F32" s="91">
        <f t="shared" si="3"/>
        <v>0.1</v>
      </c>
      <c r="G32" s="91">
        <f t="shared" ref="G32:M32" si="12">G15/$E32</f>
        <v>0.5</v>
      </c>
      <c r="H32" s="91">
        <f t="shared" si="12"/>
        <v>0</v>
      </c>
      <c r="I32" s="91">
        <f t="shared" si="12"/>
        <v>0.05</v>
      </c>
      <c r="J32" s="91">
        <f t="shared" si="12"/>
        <v>0.12</v>
      </c>
      <c r="K32" s="91">
        <f t="shared" si="12"/>
        <v>0</v>
      </c>
      <c r="L32" s="91">
        <f t="shared" si="12"/>
        <v>0</v>
      </c>
      <c r="M32" s="91">
        <f t="shared" si="12"/>
        <v>0.23000000000000004</v>
      </c>
      <c r="N32" s="84"/>
    </row>
    <row r="33" spans="2:14" x14ac:dyDescent="0.25">
      <c r="B33" s="6" t="s">
        <v>289</v>
      </c>
      <c r="E33" s="94">
        <f t="shared" si="2"/>
        <v>200</v>
      </c>
      <c r="F33" s="85">
        <f t="shared" si="3"/>
        <v>0.27344999999999997</v>
      </c>
      <c r="G33" s="85">
        <f t="shared" ref="G33:M33" si="13">G16/$E33</f>
        <v>0.02</v>
      </c>
      <c r="H33" s="85">
        <f t="shared" si="13"/>
        <v>0</v>
      </c>
      <c r="I33" s="85">
        <f t="shared" si="13"/>
        <v>0.29499999999999998</v>
      </c>
      <c r="J33" s="85">
        <f t="shared" si="13"/>
        <v>3.3750000000000002E-2</v>
      </c>
      <c r="K33" s="85">
        <f t="shared" si="13"/>
        <v>5.6850000000000005E-2</v>
      </c>
      <c r="L33" s="85">
        <f t="shared" si="13"/>
        <v>0</v>
      </c>
      <c r="M33" s="85">
        <f t="shared" si="13"/>
        <v>0.32095000000000001</v>
      </c>
      <c r="N33" s="84"/>
    </row>
    <row r="34" spans="2:14" x14ac:dyDescent="0.25">
      <c r="B34" s="6" t="s">
        <v>26</v>
      </c>
      <c r="E34" s="94">
        <f t="shared" si="2"/>
        <v>730</v>
      </c>
      <c r="F34" s="85">
        <f t="shared" si="3"/>
        <v>0</v>
      </c>
      <c r="G34" s="85">
        <f t="shared" ref="G34:M34" si="14">G17/$E34</f>
        <v>0</v>
      </c>
      <c r="H34" s="85">
        <f t="shared" si="14"/>
        <v>0</v>
      </c>
      <c r="I34" s="85">
        <f t="shared" si="14"/>
        <v>0</v>
      </c>
      <c r="J34" s="85">
        <f t="shared" si="14"/>
        <v>0</v>
      </c>
      <c r="K34" s="85">
        <f t="shared" si="14"/>
        <v>0</v>
      </c>
      <c r="L34" s="85">
        <f t="shared" si="14"/>
        <v>0</v>
      </c>
      <c r="M34" s="85">
        <f t="shared" si="14"/>
        <v>1</v>
      </c>
      <c r="N34" s="84"/>
    </row>
    <row r="37" spans="2:14" x14ac:dyDescent="0.25">
      <c r="B37" s="7" t="s">
        <v>75</v>
      </c>
      <c r="C37" s="7"/>
      <c r="D37" s="7"/>
      <c r="E37" s="7"/>
      <c r="F37" s="7"/>
      <c r="G37" s="7"/>
      <c r="H37" s="7"/>
    </row>
    <row r="38" spans="2:14" x14ac:dyDescent="0.25">
      <c r="F38" s="6" t="s">
        <v>64</v>
      </c>
      <c r="G38" s="6" t="s">
        <v>64</v>
      </c>
      <c r="J38" s="36"/>
    </row>
    <row r="39" spans="2:14" x14ac:dyDescent="0.25">
      <c r="E39" s="6" t="s">
        <v>128</v>
      </c>
      <c r="F39" s="6" t="s">
        <v>65</v>
      </c>
      <c r="G39" s="6" t="s">
        <v>66</v>
      </c>
      <c r="H39" s="6" t="s">
        <v>67</v>
      </c>
      <c r="I39" s="6" t="s">
        <v>68</v>
      </c>
      <c r="J39" s="6" t="s">
        <v>45</v>
      </c>
      <c r="K39" s="6" t="s">
        <v>69</v>
      </c>
      <c r="L39" s="6" t="s">
        <v>47</v>
      </c>
      <c r="M39" s="6" t="s">
        <v>70</v>
      </c>
    </row>
    <row r="40" spans="2:14" x14ac:dyDescent="0.25">
      <c r="B40" s="26" t="s">
        <v>264</v>
      </c>
      <c r="C40" s="26"/>
      <c r="D40" s="26"/>
      <c r="E40" s="89">
        <v>240</v>
      </c>
      <c r="F40" s="4"/>
      <c r="G40" s="4" t="s">
        <v>290</v>
      </c>
      <c r="H40" s="4"/>
      <c r="I40" s="4"/>
      <c r="J40" s="4"/>
      <c r="K40" s="4"/>
      <c r="L40" s="4"/>
      <c r="M40" s="4"/>
    </row>
    <row r="41" spans="2:14" x14ac:dyDescent="0.25">
      <c r="B41" s="26" t="s">
        <v>77</v>
      </c>
      <c r="C41" s="26"/>
      <c r="D41" s="26"/>
      <c r="E41" s="32">
        <v>450</v>
      </c>
      <c r="F41" s="93">
        <f>30+86</f>
        <v>116</v>
      </c>
      <c r="G41" s="93">
        <v>10</v>
      </c>
      <c r="H41" s="93"/>
      <c r="I41" s="93">
        <v>100</v>
      </c>
      <c r="J41" s="93">
        <f>24000/4/6/50</f>
        <v>20</v>
      </c>
      <c r="K41" s="93">
        <f>(153*0.24)+45</f>
        <v>81.72</v>
      </c>
      <c r="L41" s="93"/>
      <c r="M41" s="93">
        <f t="shared" ref="M41:M51" si="15">E41-F41-G41-H41-I41-J41-K41-L41</f>
        <v>122.28</v>
      </c>
      <c r="N41" s="86"/>
    </row>
    <row r="42" spans="2:14" x14ac:dyDescent="0.25">
      <c r="B42" s="26" t="s">
        <v>78</v>
      </c>
      <c r="C42" s="26"/>
      <c r="D42" s="26"/>
      <c r="E42" s="32">
        <v>100</v>
      </c>
      <c r="F42" s="93">
        <v>35</v>
      </c>
      <c r="G42" s="93">
        <v>15</v>
      </c>
      <c r="H42" s="93"/>
      <c r="I42" s="93">
        <v>20</v>
      </c>
      <c r="J42" s="93"/>
      <c r="K42" s="93"/>
      <c r="L42" s="93"/>
      <c r="M42" s="93">
        <f t="shared" si="15"/>
        <v>30</v>
      </c>
      <c r="N42" s="86"/>
    </row>
    <row r="43" spans="2:14" x14ac:dyDescent="0.25">
      <c r="B43" s="26" t="s">
        <v>79</v>
      </c>
      <c r="C43" s="26"/>
      <c r="D43" s="26"/>
      <c r="E43" s="32">
        <v>3.41</v>
      </c>
      <c r="F43" s="93">
        <f>3.41*0.56</f>
        <v>1.9096000000000002</v>
      </c>
      <c r="G43" s="93"/>
      <c r="H43" s="93"/>
      <c r="I43" s="93">
        <f>E43*0.1</f>
        <v>0.34100000000000003</v>
      </c>
      <c r="J43" s="93"/>
      <c r="K43" s="93">
        <f>E43*0.24</f>
        <v>0.81840000000000002</v>
      </c>
      <c r="L43" s="93"/>
      <c r="M43" s="93">
        <f t="shared" si="15"/>
        <v>0.34099999999999997</v>
      </c>
      <c r="N43" s="86"/>
    </row>
    <row r="44" spans="2:14" x14ac:dyDescent="0.25">
      <c r="B44" s="26" t="s">
        <v>80</v>
      </c>
      <c r="C44" s="26"/>
      <c r="D44" s="26"/>
      <c r="E44" s="32">
        <v>3.41</v>
      </c>
      <c r="F44" s="93">
        <f>3.41*0.56</f>
        <v>1.9096000000000002</v>
      </c>
      <c r="G44" s="93"/>
      <c r="H44" s="93"/>
      <c r="I44" s="93">
        <f>E44*0.1</f>
        <v>0.34100000000000003</v>
      </c>
      <c r="J44" s="93"/>
      <c r="K44" s="93">
        <f>E44*0.24</f>
        <v>0.81840000000000002</v>
      </c>
      <c r="L44" s="93"/>
      <c r="M44" s="93">
        <f t="shared" si="15"/>
        <v>0.34099999999999997</v>
      </c>
      <c r="N44" s="86"/>
    </row>
    <row r="45" spans="2:14" x14ac:dyDescent="0.25">
      <c r="B45" s="26" t="s">
        <v>81</v>
      </c>
      <c r="C45" s="26"/>
      <c r="D45" s="26"/>
      <c r="E45" s="32">
        <v>100</v>
      </c>
      <c r="F45" s="93">
        <v>10</v>
      </c>
      <c r="G45" s="93">
        <v>20</v>
      </c>
      <c r="H45" s="93"/>
      <c r="I45" s="93">
        <v>15</v>
      </c>
      <c r="J45" s="93">
        <v>10</v>
      </c>
      <c r="K45" s="93">
        <v>25</v>
      </c>
      <c r="L45" s="93"/>
      <c r="M45" s="93">
        <f t="shared" si="15"/>
        <v>20</v>
      </c>
      <c r="N45" s="86"/>
    </row>
    <row r="46" spans="2:14" x14ac:dyDescent="0.25">
      <c r="B46" s="26" t="s">
        <v>82</v>
      </c>
      <c r="C46" s="26"/>
      <c r="D46" s="26"/>
      <c r="E46" s="32">
        <v>100</v>
      </c>
      <c r="F46" s="93">
        <v>20</v>
      </c>
      <c r="G46" s="93">
        <v>0</v>
      </c>
      <c r="H46" s="93"/>
      <c r="I46" s="93">
        <v>48</v>
      </c>
      <c r="J46" s="93"/>
      <c r="K46" s="93">
        <v>5</v>
      </c>
      <c r="L46" s="93"/>
      <c r="M46" s="93">
        <f t="shared" si="15"/>
        <v>27</v>
      </c>
      <c r="N46" s="86"/>
    </row>
    <row r="47" spans="2:14" x14ac:dyDescent="0.25">
      <c r="B47" s="26" t="s">
        <v>83</v>
      </c>
      <c r="C47" s="26"/>
      <c r="D47" s="26"/>
      <c r="E47" s="32">
        <v>60</v>
      </c>
      <c r="F47" s="93">
        <v>6</v>
      </c>
      <c r="G47" s="93">
        <v>12</v>
      </c>
      <c r="H47" s="93">
        <v>0</v>
      </c>
      <c r="I47" s="93">
        <f>E47*0.15</f>
        <v>9</v>
      </c>
      <c r="J47" s="93">
        <v>6</v>
      </c>
      <c r="K47" s="93">
        <v>15</v>
      </c>
      <c r="L47" s="93">
        <v>0</v>
      </c>
      <c r="M47" s="93">
        <f t="shared" si="15"/>
        <v>12</v>
      </c>
      <c r="N47" s="86"/>
    </row>
    <row r="48" spans="2:14" x14ac:dyDescent="0.25">
      <c r="B48" s="26" t="s">
        <v>74</v>
      </c>
      <c r="C48" s="26"/>
      <c r="D48" s="26"/>
      <c r="E48" s="32">
        <v>100</v>
      </c>
      <c r="F48" s="93">
        <v>20</v>
      </c>
      <c r="G48" s="93">
        <v>0</v>
      </c>
      <c r="H48" s="32">
        <v>0</v>
      </c>
      <c r="I48" s="32">
        <v>48</v>
      </c>
      <c r="J48" s="32">
        <v>0</v>
      </c>
      <c r="K48" s="32">
        <v>5</v>
      </c>
      <c r="L48" s="32">
        <v>0</v>
      </c>
      <c r="M48" s="93">
        <f t="shared" si="15"/>
        <v>27</v>
      </c>
      <c r="N48" s="86"/>
    </row>
    <row r="49" spans="2:14" x14ac:dyDescent="0.25">
      <c r="B49" s="26" t="s">
        <v>99</v>
      </c>
      <c r="C49" s="26"/>
      <c r="D49" s="26"/>
      <c r="E49" s="32"/>
      <c r="F49" s="93"/>
      <c r="G49" s="93"/>
      <c r="H49" s="93"/>
      <c r="I49" s="93"/>
      <c r="J49" s="93"/>
      <c r="K49" s="93"/>
      <c r="L49" s="93"/>
      <c r="M49" s="93">
        <f t="shared" si="15"/>
        <v>0</v>
      </c>
      <c r="N49" s="86"/>
    </row>
    <row r="50" spans="2:14" x14ac:dyDescent="0.25">
      <c r="B50" s="26" t="s">
        <v>100</v>
      </c>
      <c r="C50" s="26"/>
      <c r="D50" s="26"/>
      <c r="E50" s="32"/>
      <c r="F50" s="93"/>
      <c r="G50" s="93"/>
      <c r="H50" s="93"/>
      <c r="I50" s="93"/>
      <c r="J50" s="93"/>
      <c r="K50" s="93"/>
      <c r="L50" s="93"/>
      <c r="M50" s="93">
        <f t="shared" si="15"/>
        <v>0</v>
      </c>
      <c r="N50" s="86"/>
    </row>
    <row r="51" spans="2:14" x14ac:dyDescent="0.25">
      <c r="B51" s="26" t="s">
        <v>101</v>
      </c>
      <c r="C51" s="26"/>
      <c r="D51" s="26"/>
      <c r="E51" s="32"/>
      <c r="F51" s="93"/>
      <c r="G51" s="93"/>
      <c r="H51" s="93"/>
      <c r="I51" s="93"/>
      <c r="J51" s="93"/>
      <c r="K51" s="93"/>
      <c r="L51" s="93"/>
      <c r="M51" s="93">
        <f t="shared" si="15"/>
        <v>0</v>
      </c>
      <c r="N51" s="86"/>
    </row>
    <row r="52" spans="2:14" x14ac:dyDescent="0.25">
      <c r="B52" s="6" t="s">
        <v>26</v>
      </c>
      <c r="E52" s="32"/>
      <c r="F52" s="93"/>
      <c r="G52" s="93"/>
      <c r="H52" s="93"/>
      <c r="I52" s="93"/>
      <c r="J52" s="93"/>
      <c r="K52" s="93"/>
      <c r="L52" s="93"/>
      <c r="M52" s="93">
        <f t="shared" ref="M52" si="16">E52-F52-G52-H52-I52-J52-K52-L52</f>
        <v>0</v>
      </c>
    </row>
    <row r="53" spans="2:14" x14ac:dyDescent="0.25">
      <c r="E53" s="6" t="s">
        <v>283</v>
      </c>
    </row>
    <row r="55" spans="2:14" x14ac:dyDescent="0.25">
      <c r="B55" s="7" t="s">
        <v>75</v>
      </c>
      <c r="C55" s="7"/>
      <c r="D55" s="7"/>
      <c r="E55" s="7"/>
      <c r="F55" s="7"/>
      <c r="G55" s="7"/>
      <c r="H55" s="7"/>
      <c r="I55" s="138" t="s">
        <v>129</v>
      </c>
      <c r="J55" s="138"/>
      <c r="K55" s="138"/>
      <c r="L55" s="138"/>
    </row>
    <row r="56" spans="2:14" x14ac:dyDescent="0.25">
      <c r="F56" s="6" t="s">
        <v>64</v>
      </c>
      <c r="G56" s="6" t="s">
        <v>64</v>
      </c>
      <c r="J56" s="36"/>
    </row>
    <row r="57" spans="2:14" x14ac:dyDescent="0.25">
      <c r="E57" s="6" t="s">
        <v>128</v>
      </c>
      <c r="F57" s="6" t="s">
        <v>65</v>
      </c>
      <c r="G57" s="6" t="s">
        <v>66</v>
      </c>
      <c r="H57" s="6" t="s">
        <v>67</v>
      </c>
      <c r="I57" s="6" t="s">
        <v>68</v>
      </c>
      <c r="J57" s="6" t="s">
        <v>45</v>
      </c>
      <c r="K57" s="6" t="s">
        <v>69</v>
      </c>
      <c r="L57" s="6" t="s">
        <v>47</v>
      </c>
      <c r="M57" s="6" t="s">
        <v>70</v>
      </c>
    </row>
    <row r="58" spans="2:14" x14ac:dyDescent="0.25">
      <c r="B58" s="26" t="s">
        <v>264</v>
      </c>
      <c r="C58" s="26"/>
      <c r="D58" s="26"/>
      <c r="E58" s="96">
        <f t="shared" ref="E58:E64" si="17">E40</f>
        <v>240</v>
      </c>
      <c r="F58" s="97"/>
      <c r="G58" s="4" t="s">
        <v>290</v>
      </c>
      <c r="H58" s="97"/>
      <c r="I58" s="97"/>
      <c r="J58" s="97"/>
      <c r="K58" s="97"/>
      <c r="L58" s="97"/>
      <c r="M58" s="97"/>
    </row>
    <row r="59" spans="2:14" x14ac:dyDescent="0.25">
      <c r="B59" s="26" t="s">
        <v>77</v>
      </c>
      <c r="C59" s="26"/>
      <c r="D59" s="26"/>
      <c r="E59" s="80">
        <f t="shared" si="17"/>
        <v>450</v>
      </c>
      <c r="F59" s="98">
        <f t="shared" ref="F59:F64" si="18">F41/$E59</f>
        <v>0.25777777777777777</v>
      </c>
      <c r="G59" s="98">
        <f t="shared" ref="G59:M64" si="19">G41/$E59</f>
        <v>2.2222222222222223E-2</v>
      </c>
      <c r="H59" s="98">
        <f t="shared" si="19"/>
        <v>0</v>
      </c>
      <c r="I59" s="98">
        <f t="shared" si="19"/>
        <v>0.22222222222222221</v>
      </c>
      <c r="J59" s="98">
        <f t="shared" si="19"/>
        <v>4.4444444444444446E-2</v>
      </c>
      <c r="K59" s="98">
        <f t="shared" si="19"/>
        <v>0.18159999999999998</v>
      </c>
      <c r="L59" s="98">
        <f t="shared" si="19"/>
        <v>0</v>
      </c>
      <c r="M59" s="98">
        <f t="shared" si="19"/>
        <v>0.27173333333333333</v>
      </c>
      <c r="N59" s="86"/>
    </row>
    <row r="60" spans="2:14" x14ac:dyDescent="0.25">
      <c r="B60" s="26" t="s">
        <v>78</v>
      </c>
      <c r="C60" s="26"/>
      <c r="D60" s="26"/>
      <c r="E60" s="80">
        <f t="shared" si="17"/>
        <v>100</v>
      </c>
      <c r="F60" s="98">
        <f t="shared" si="18"/>
        <v>0.35</v>
      </c>
      <c r="G60" s="98">
        <f t="shared" si="19"/>
        <v>0.15</v>
      </c>
      <c r="H60" s="98">
        <f t="shared" si="19"/>
        <v>0</v>
      </c>
      <c r="I60" s="98">
        <f t="shared" si="19"/>
        <v>0.2</v>
      </c>
      <c r="J60" s="98">
        <f t="shared" si="19"/>
        <v>0</v>
      </c>
      <c r="K60" s="98">
        <f t="shared" si="19"/>
        <v>0</v>
      </c>
      <c r="L60" s="98">
        <f t="shared" si="19"/>
        <v>0</v>
      </c>
      <c r="M60" s="98">
        <f t="shared" si="19"/>
        <v>0.3</v>
      </c>
      <c r="N60" s="86"/>
    </row>
    <row r="61" spans="2:14" x14ac:dyDescent="0.25">
      <c r="B61" s="26" t="s">
        <v>79</v>
      </c>
      <c r="C61" s="26"/>
      <c r="D61" s="26"/>
      <c r="E61" s="80">
        <f t="shared" si="17"/>
        <v>3.41</v>
      </c>
      <c r="F61" s="98">
        <f t="shared" si="18"/>
        <v>0.56000000000000005</v>
      </c>
      <c r="G61" s="98">
        <f t="shared" si="19"/>
        <v>0</v>
      </c>
      <c r="H61" s="98">
        <f t="shared" si="19"/>
        <v>0</v>
      </c>
      <c r="I61" s="98">
        <f t="shared" si="19"/>
        <v>0.1</v>
      </c>
      <c r="J61" s="98">
        <f t="shared" si="19"/>
        <v>0</v>
      </c>
      <c r="K61" s="98">
        <f t="shared" si="19"/>
        <v>0.24</v>
      </c>
      <c r="L61" s="98">
        <f t="shared" si="19"/>
        <v>0</v>
      </c>
      <c r="M61" s="98">
        <f t="shared" si="19"/>
        <v>9.9999999999999992E-2</v>
      </c>
      <c r="N61" s="86"/>
    </row>
    <row r="62" spans="2:14" x14ac:dyDescent="0.25">
      <c r="B62" s="26" t="s">
        <v>80</v>
      </c>
      <c r="C62" s="26"/>
      <c r="D62" s="26"/>
      <c r="E62" s="80">
        <f t="shared" si="17"/>
        <v>3.41</v>
      </c>
      <c r="F62" s="98">
        <f t="shared" si="18"/>
        <v>0.56000000000000005</v>
      </c>
      <c r="G62" s="98">
        <f t="shared" si="19"/>
        <v>0</v>
      </c>
      <c r="H62" s="98">
        <f t="shared" si="19"/>
        <v>0</v>
      </c>
      <c r="I62" s="98">
        <f t="shared" si="19"/>
        <v>0.1</v>
      </c>
      <c r="J62" s="98">
        <f t="shared" si="19"/>
        <v>0</v>
      </c>
      <c r="K62" s="98">
        <f t="shared" si="19"/>
        <v>0.24</v>
      </c>
      <c r="L62" s="98">
        <f t="shared" si="19"/>
        <v>0</v>
      </c>
      <c r="M62" s="98">
        <f t="shared" si="19"/>
        <v>9.9999999999999992E-2</v>
      </c>
      <c r="N62" s="86"/>
    </row>
    <row r="63" spans="2:14" x14ac:dyDescent="0.25">
      <c r="B63" s="26" t="s">
        <v>81</v>
      </c>
      <c r="C63" s="26"/>
      <c r="D63" s="26"/>
      <c r="E63" s="80">
        <f t="shared" si="17"/>
        <v>100</v>
      </c>
      <c r="F63" s="98">
        <f t="shared" si="18"/>
        <v>0.1</v>
      </c>
      <c r="G63" s="98">
        <f t="shared" si="19"/>
        <v>0.2</v>
      </c>
      <c r="H63" s="98">
        <f t="shared" si="19"/>
        <v>0</v>
      </c>
      <c r="I63" s="98">
        <f t="shared" si="19"/>
        <v>0.15</v>
      </c>
      <c r="J63" s="98">
        <f t="shared" si="19"/>
        <v>0.1</v>
      </c>
      <c r="K63" s="98">
        <f t="shared" si="19"/>
        <v>0.25</v>
      </c>
      <c r="L63" s="98">
        <f t="shared" si="19"/>
        <v>0</v>
      </c>
      <c r="M63" s="98">
        <f t="shared" si="19"/>
        <v>0.2</v>
      </c>
      <c r="N63" s="86"/>
    </row>
    <row r="64" spans="2:14" x14ac:dyDescent="0.25">
      <c r="B64" s="26" t="s">
        <v>82</v>
      </c>
      <c r="C64" s="26"/>
      <c r="D64" s="26"/>
      <c r="E64" s="80">
        <f t="shared" si="17"/>
        <v>100</v>
      </c>
      <c r="F64" s="98">
        <f t="shared" si="18"/>
        <v>0.2</v>
      </c>
      <c r="G64" s="98">
        <f t="shared" si="19"/>
        <v>0</v>
      </c>
      <c r="H64" s="98">
        <f t="shared" si="19"/>
        <v>0</v>
      </c>
      <c r="I64" s="98">
        <f t="shared" si="19"/>
        <v>0.48</v>
      </c>
      <c r="J64" s="98">
        <f t="shared" si="19"/>
        <v>0</v>
      </c>
      <c r="K64" s="98">
        <f t="shared" si="19"/>
        <v>0.05</v>
      </c>
      <c r="L64" s="98">
        <f t="shared" si="19"/>
        <v>0</v>
      </c>
      <c r="M64" s="98">
        <f t="shared" si="19"/>
        <v>0.27</v>
      </c>
      <c r="N64" s="86"/>
    </row>
    <row r="65" spans="2:16" x14ac:dyDescent="0.25">
      <c r="B65" s="26" t="s">
        <v>83</v>
      </c>
      <c r="C65" s="26"/>
      <c r="D65" s="26"/>
      <c r="E65" s="80">
        <v>60</v>
      </c>
      <c r="F65" s="98">
        <v>0.1</v>
      </c>
      <c r="G65" s="98">
        <v>0.2</v>
      </c>
      <c r="H65" s="98">
        <v>0</v>
      </c>
      <c r="I65" s="98">
        <v>0.15</v>
      </c>
      <c r="J65" s="98">
        <v>0.1</v>
      </c>
      <c r="K65" s="98">
        <v>0.25</v>
      </c>
      <c r="L65" s="98">
        <f>L47/$E65</f>
        <v>0</v>
      </c>
      <c r="M65" s="98">
        <f>M47/$E65</f>
        <v>0.2</v>
      </c>
      <c r="N65" s="86"/>
    </row>
    <row r="66" spans="2:16" x14ac:dyDescent="0.25">
      <c r="B66" s="26" t="s">
        <v>74</v>
      </c>
      <c r="C66" s="26"/>
      <c r="D66" s="26"/>
      <c r="E66" s="80">
        <v>100</v>
      </c>
      <c r="F66" s="98">
        <f>F48/$E48</f>
        <v>0.2</v>
      </c>
      <c r="G66" s="98">
        <f t="shared" ref="G66:M66" si="20">G48/$E48</f>
        <v>0</v>
      </c>
      <c r="H66" s="98">
        <f t="shared" si="20"/>
        <v>0</v>
      </c>
      <c r="I66" s="98">
        <f t="shared" si="20"/>
        <v>0.48</v>
      </c>
      <c r="J66" s="98">
        <f t="shared" si="20"/>
        <v>0</v>
      </c>
      <c r="K66" s="98">
        <f t="shared" si="20"/>
        <v>0.05</v>
      </c>
      <c r="L66" s="98">
        <f t="shared" si="20"/>
        <v>0</v>
      </c>
      <c r="M66" s="98">
        <f t="shared" si="20"/>
        <v>0.27</v>
      </c>
      <c r="N66" s="86"/>
    </row>
    <row r="67" spans="2:16" x14ac:dyDescent="0.25">
      <c r="B67" s="26" t="s">
        <v>99</v>
      </c>
      <c r="C67" s="26"/>
      <c r="D67" s="26"/>
      <c r="E67" s="80"/>
      <c r="F67" s="98">
        <v>0.05</v>
      </c>
      <c r="G67" s="98">
        <v>0.1</v>
      </c>
      <c r="H67" s="98">
        <v>0</v>
      </c>
      <c r="I67" s="98">
        <v>0.3</v>
      </c>
      <c r="J67" s="98">
        <v>0.1</v>
      </c>
      <c r="K67" s="98">
        <v>0.25</v>
      </c>
      <c r="L67" s="98">
        <v>0</v>
      </c>
      <c r="M67" s="98">
        <f>1-SUM(F67:L67)</f>
        <v>0.19999999999999996</v>
      </c>
      <c r="N67" s="86"/>
    </row>
    <row r="68" spans="2:16" x14ac:dyDescent="0.25">
      <c r="B68" s="26" t="s">
        <v>100</v>
      </c>
      <c r="C68" s="26"/>
      <c r="D68" s="26"/>
      <c r="E68" s="80"/>
      <c r="F68" s="98">
        <v>0.26</v>
      </c>
      <c r="G68" s="98">
        <v>0.02</v>
      </c>
      <c r="H68" s="98">
        <v>0</v>
      </c>
      <c r="I68" s="98">
        <v>0.22</v>
      </c>
      <c r="J68" s="98">
        <v>0.05</v>
      </c>
      <c r="K68" s="98">
        <v>0.18</v>
      </c>
      <c r="L68" s="98">
        <v>0</v>
      </c>
      <c r="M68" s="98">
        <f t="shared" ref="M68:M69" si="21">1-SUM(F68:L68)</f>
        <v>0.27</v>
      </c>
      <c r="N68" s="86"/>
    </row>
    <row r="69" spans="2:16" x14ac:dyDescent="0.25">
      <c r="B69" s="26" t="s">
        <v>180</v>
      </c>
      <c r="C69" s="26"/>
      <c r="D69" s="26"/>
      <c r="E69" s="80"/>
      <c r="F69" s="98">
        <v>0.1</v>
      </c>
      <c r="G69" s="98">
        <v>0.1</v>
      </c>
      <c r="H69" s="98">
        <v>0</v>
      </c>
      <c r="I69" s="98">
        <v>0.4</v>
      </c>
      <c r="J69" s="98">
        <v>0.2</v>
      </c>
      <c r="K69" s="98">
        <v>0.2</v>
      </c>
      <c r="L69" s="98">
        <v>0</v>
      </c>
      <c r="M69" s="98">
        <f t="shared" si="21"/>
        <v>0</v>
      </c>
      <c r="N69" s="86"/>
    </row>
    <row r="70" spans="2:16" x14ac:dyDescent="0.25">
      <c r="B70" s="26" t="s">
        <v>26</v>
      </c>
      <c r="E70" s="80">
        <f>E52</f>
        <v>0</v>
      </c>
      <c r="F70" s="98" t="e">
        <f t="shared" ref="F70:M70" si="22">F52/$E70</f>
        <v>#DIV/0!</v>
      </c>
      <c r="G70" s="98" t="e">
        <f t="shared" si="22"/>
        <v>#DIV/0!</v>
      </c>
      <c r="H70" s="98" t="e">
        <f t="shared" si="22"/>
        <v>#DIV/0!</v>
      </c>
      <c r="I70" s="98" t="e">
        <f t="shared" si="22"/>
        <v>#DIV/0!</v>
      </c>
      <c r="J70" s="98" t="e">
        <f t="shared" si="22"/>
        <v>#DIV/0!</v>
      </c>
      <c r="K70" s="98" t="e">
        <f t="shared" si="22"/>
        <v>#DIV/0!</v>
      </c>
      <c r="L70" s="98" t="e">
        <f t="shared" si="22"/>
        <v>#DIV/0!</v>
      </c>
      <c r="M70" s="98" t="e">
        <f t="shared" si="22"/>
        <v>#DIV/0!</v>
      </c>
    </row>
    <row r="71" spans="2:16" x14ac:dyDescent="0.25">
      <c r="E71" s="26"/>
    </row>
    <row r="72" spans="2:16" x14ac:dyDescent="0.25">
      <c r="E72" s="26"/>
      <c r="N72" s="137"/>
      <c r="O72" s="137"/>
      <c r="P72" s="137"/>
    </row>
    <row r="73" spans="2:16" x14ac:dyDescent="0.25">
      <c r="B73" s="7" t="s">
        <v>203</v>
      </c>
      <c r="C73" s="7"/>
      <c r="D73" s="7"/>
      <c r="E73" s="7"/>
      <c r="F73" s="7"/>
      <c r="G73" s="7"/>
      <c r="H73" s="7"/>
    </row>
    <row r="74" spans="2:16" x14ac:dyDescent="0.25">
      <c r="F74" s="6" t="s">
        <v>64</v>
      </c>
      <c r="G74" s="6" t="s">
        <v>64</v>
      </c>
      <c r="J74" s="36"/>
    </row>
    <row r="75" spans="2:16" x14ac:dyDescent="0.25">
      <c r="E75" s="6" t="s">
        <v>128</v>
      </c>
      <c r="F75" s="6" t="s">
        <v>65</v>
      </c>
      <c r="G75" s="6" t="s">
        <v>66</v>
      </c>
      <c r="H75" s="6" t="s">
        <v>67</v>
      </c>
      <c r="I75" s="6" t="s">
        <v>68</v>
      </c>
      <c r="J75" s="6" t="s">
        <v>45</v>
      </c>
      <c r="K75" s="6" t="s">
        <v>69</v>
      </c>
      <c r="L75" s="6" t="s">
        <v>47</v>
      </c>
      <c r="M75" s="6" t="s">
        <v>70</v>
      </c>
    </row>
    <row r="76" spans="2:16" x14ac:dyDescent="0.25">
      <c r="B76" s="26" t="s">
        <v>264</v>
      </c>
      <c r="C76" s="26"/>
      <c r="D76" s="26"/>
      <c r="E76" s="89">
        <v>1512</v>
      </c>
      <c r="F76" s="97"/>
      <c r="G76" s="4" t="s">
        <v>290</v>
      </c>
      <c r="H76" s="97"/>
      <c r="I76" s="97"/>
      <c r="J76" s="97"/>
      <c r="K76" s="97"/>
      <c r="L76" s="97"/>
      <c r="M76" s="97"/>
    </row>
    <row r="77" spans="2:16" x14ac:dyDescent="0.25">
      <c r="B77" s="26" t="s">
        <v>77</v>
      </c>
      <c r="C77" s="26"/>
      <c r="D77" s="26"/>
      <c r="E77" s="30">
        <v>450</v>
      </c>
      <c r="F77" s="99">
        <f>F29</f>
        <v>0.25777777777777777</v>
      </c>
      <c r="G77" s="99">
        <f t="shared" ref="G77:L77" si="23">G29</f>
        <v>2.2222222222222223E-2</v>
      </c>
      <c r="H77" s="99">
        <f t="shared" si="23"/>
        <v>0</v>
      </c>
      <c r="I77" s="99">
        <f t="shared" si="23"/>
        <v>0.22222222222222221</v>
      </c>
      <c r="J77" s="99">
        <f t="shared" si="23"/>
        <v>4.4444444444444446E-2</v>
      </c>
      <c r="K77" s="99">
        <f t="shared" si="23"/>
        <v>0.18159999999999998</v>
      </c>
      <c r="L77" s="99">
        <f t="shared" si="23"/>
        <v>0</v>
      </c>
      <c r="M77" s="99">
        <f>1-SUM(F77:L77)</f>
        <v>0.27173333333333349</v>
      </c>
    </row>
    <row r="78" spans="2:16" x14ac:dyDescent="0.25">
      <c r="B78" s="26" t="s">
        <v>204</v>
      </c>
      <c r="C78" s="26"/>
      <c r="D78" s="26"/>
      <c r="E78" s="30">
        <f>E62</f>
        <v>3.41</v>
      </c>
      <c r="F78" s="99">
        <f>F30</f>
        <v>0.56000000000000005</v>
      </c>
      <c r="G78" s="99">
        <f t="shared" ref="G78:L78" si="24">G30</f>
        <v>0</v>
      </c>
      <c r="H78" s="99">
        <f t="shared" si="24"/>
        <v>0</v>
      </c>
      <c r="I78" s="99">
        <f t="shared" si="24"/>
        <v>0.1</v>
      </c>
      <c r="J78" s="99">
        <f t="shared" si="24"/>
        <v>0</v>
      </c>
      <c r="K78" s="99">
        <f t="shared" si="24"/>
        <v>0.24</v>
      </c>
      <c r="L78" s="99">
        <f t="shared" si="24"/>
        <v>0</v>
      </c>
      <c r="M78" s="99">
        <f t="shared" ref="M78:M79" si="25">1-SUM(F78:L78)</f>
        <v>9.9999999999999978E-2</v>
      </c>
    </row>
    <row r="79" spans="2:16" x14ac:dyDescent="0.25">
      <c r="B79" s="26" t="s">
        <v>83</v>
      </c>
      <c r="C79" s="26"/>
      <c r="D79" s="26"/>
      <c r="E79" s="30">
        <v>168</v>
      </c>
      <c r="F79" s="99">
        <v>0.1</v>
      </c>
      <c r="G79" s="99">
        <v>0.2</v>
      </c>
      <c r="H79" s="99">
        <v>0</v>
      </c>
      <c r="I79" s="99">
        <v>0.15</v>
      </c>
      <c r="J79" s="99">
        <v>0.1</v>
      </c>
      <c r="K79" s="99">
        <v>0.25</v>
      </c>
      <c r="L79" s="99">
        <f>L66/$E79</f>
        <v>0</v>
      </c>
      <c r="M79" s="99">
        <f t="shared" si="25"/>
        <v>0.19999999999999996</v>
      </c>
    </row>
    <row r="80" spans="2:16" x14ac:dyDescent="0.25">
      <c r="E80" s="6" t="s">
        <v>283</v>
      </c>
    </row>
    <row r="82" spans="2:15" x14ac:dyDescent="0.25">
      <c r="B82" s="7" t="s">
        <v>84</v>
      </c>
      <c r="C82" s="7"/>
      <c r="D82" s="7"/>
      <c r="E82" s="7"/>
      <c r="F82" s="7"/>
      <c r="G82" s="7"/>
      <c r="H82" s="7"/>
    </row>
    <row r="83" spans="2:15" x14ac:dyDescent="0.25">
      <c r="G83" s="6" t="s">
        <v>85</v>
      </c>
      <c r="H83" s="6" t="s">
        <v>64</v>
      </c>
      <c r="I83" s="6" t="s">
        <v>64</v>
      </c>
    </row>
    <row r="84" spans="2:15" x14ac:dyDescent="0.25">
      <c r="B84" s="26"/>
      <c r="C84" s="26" t="s">
        <v>316</v>
      </c>
      <c r="D84" s="26"/>
      <c r="E84" s="26" t="s">
        <v>130</v>
      </c>
      <c r="F84" s="26"/>
      <c r="G84" s="26" t="s">
        <v>86</v>
      </c>
      <c r="H84" s="6" t="s">
        <v>65</v>
      </c>
      <c r="I84" s="6" t="s">
        <v>66</v>
      </c>
      <c r="J84" s="6" t="s">
        <v>67</v>
      </c>
      <c r="K84" s="6" t="s">
        <v>68</v>
      </c>
      <c r="L84" s="6" t="s">
        <v>45</v>
      </c>
      <c r="M84" s="6" t="s">
        <v>69</v>
      </c>
      <c r="N84" s="6" t="s">
        <v>47</v>
      </c>
      <c r="O84" s="6" t="s">
        <v>70</v>
      </c>
    </row>
    <row r="85" spans="2:15" x14ac:dyDescent="0.25">
      <c r="B85" s="26" t="s">
        <v>87</v>
      </c>
      <c r="C85" s="87">
        <v>250000</v>
      </c>
      <c r="D85" s="30"/>
      <c r="E85" s="30">
        <v>10</v>
      </c>
      <c r="F85" s="30"/>
      <c r="G85" s="35">
        <v>1</v>
      </c>
      <c r="H85" s="100">
        <v>0.1</v>
      </c>
      <c r="I85" s="100">
        <v>0.4</v>
      </c>
      <c r="J85" s="101"/>
      <c r="K85" s="101">
        <v>0.33</v>
      </c>
      <c r="L85" s="101">
        <v>0</v>
      </c>
      <c r="M85" s="101"/>
      <c r="N85" s="101"/>
      <c r="O85" s="101">
        <f>G85-H85-I85-J85-K85-L85-M85-N85</f>
        <v>0.16999999999999998</v>
      </c>
    </row>
    <row r="86" spans="2:15" x14ac:dyDescent="0.25">
      <c r="B86" s="26" t="s">
        <v>88</v>
      </c>
      <c r="C86" s="87">
        <v>2500</v>
      </c>
      <c r="D86" s="30"/>
      <c r="E86" s="30">
        <v>4</v>
      </c>
      <c r="F86" s="30"/>
      <c r="G86" s="35">
        <v>1</v>
      </c>
      <c r="H86" s="100">
        <v>0.1</v>
      </c>
      <c r="I86" s="100">
        <v>0.4</v>
      </c>
      <c r="J86" s="101"/>
      <c r="K86" s="101">
        <v>0.33</v>
      </c>
      <c r="L86" s="101">
        <v>0</v>
      </c>
      <c r="M86" s="101"/>
      <c r="N86" s="101"/>
      <c r="O86" s="101">
        <f t="shared" ref="O86:O93" si="26">G86-H86-I86-J86-K86-L86-M86-N86</f>
        <v>0.16999999999999998</v>
      </c>
    </row>
    <row r="87" spans="2:15" x14ac:dyDescent="0.25">
      <c r="B87" s="26" t="s">
        <v>89</v>
      </c>
      <c r="C87" s="87">
        <v>2600</v>
      </c>
      <c r="D87" s="30"/>
      <c r="E87" s="30">
        <v>4</v>
      </c>
      <c r="F87" s="30"/>
      <c r="G87" s="35">
        <v>1</v>
      </c>
      <c r="H87" s="100">
        <v>0.7</v>
      </c>
      <c r="I87" s="100">
        <v>0.05</v>
      </c>
      <c r="J87" s="101"/>
      <c r="K87" s="101">
        <v>0.02</v>
      </c>
      <c r="L87" s="101">
        <v>0</v>
      </c>
      <c r="M87" s="101">
        <v>0.05</v>
      </c>
      <c r="N87" s="101"/>
      <c r="O87" s="101">
        <f t="shared" si="26"/>
        <v>0.18000000000000005</v>
      </c>
    </row>
    <row r="88" spans="2:15" x14ac:dyDescent="0.25">
      <c r="B88" s="26" t="s">
        <v>90</v>
      </c>
      <c r="C88" s="87">
        <v>1500</v>
      </c>
      <c r="D88" s="30"/>
      <c r="E88" s="30">
        <v>4</v>
      </c>
      <c r="F88" s="30"/>
      <c r="G88" s="35">
        <v>1</v>
      </c>
      <c r="H88" s="100">
        <v>0.7</v>
      </c>
      <c r="I88" s="100">
        <v>0.05</v>
      </c>
      <c r="J88" s="101"/>
      <c r="K88" s="101">
        <v>0.02</v>
      </c>
      <c r="L88" s="101">
        <v>0</v>
      </c>
      <c r="M88" s="101"/>
      <c r="N88" s="101"/>
      <c r="O88" s="101">
        <f t="shared" si="26"/>
        <v>0.23000000000000007</v>
      </c>
    </row>
    <row r="89" spans="2:15" x14ac:dyDescent="0.25">
      <c r="B89" s="26" t="s">
        <v>91</v>
      </c>
      <c r="C89" s="87">
        <v>1200</v>
      </c>
      <c r="D89" s="30"/>
      <c r="E89" s="30">
        <v>4</v>
      </c>
      <c r="F89" s="30"/>
      <c r="G89" s="35">
        <v>1</v>
      </c>
      <c r="H89" s="100">
        <v>0.5</v>
      </c>
      <c r="I89" s="100">
        <v>0.2</v>
      </c>
      <c r="J89" s="101"/>
      <c r="K89" s="101">
        <v>0.1</v>
      </c>
      <c r="L89" s="101">
        <v>0</v>
      </c>
      <c r="M89" s="101"/>
      <c r="N89" s="101"/>
      <c r="O89" s="101">
        <f t="shared" si="26"/>
        <v>0.19999999999999998</v>
      </c>
    </row>
    <row r="90" spans="2:15" x14ac:dyDescent="0.25">
      <c r="B90" s="26" t="s">
        <v>50</v>
      </c>
      <c r="C90" s="87">
        <v>160000</v>
      </c>
      <c r="D90" s="30"/>
      <c r="E90" s="30">
        <v>10</v>
      </c>
      <c r="F90" s="30"/>
      <c r="G90" s="35">
        <v>1</v>
      </c>
      <c r="H90" s="100">
        <v>0.7</v>
      </c>
      <c r="I90" s="100">
        <v>0.05</v>
      </c>
      <c r="J90" s="101"/>
      <c r="K90" s="101">
        <v>0.02</v>
      </c>
      <c r="L90" s="101">
        <v>0</v>
      </c>
      <c r="M90" s="101">
        <v>0.05</v>
      </c>
      <c r="N90" s="101"/>
      <c r="O90" s="101">
        <f t="shared" si="26"/>
        <v>0.18000000000000005</v>
      </c>
    </row>
    <row r="91" spans="2:15" x14ac:dyDescent="0.25">
      <c r="B91" s="26" t="s">
        <v>54</v>
      </c>
      <c r="C91" s="87">
        <v>10000</v>
      </c>
      <c r="D91" s="88"/>
      <c r="E91" s="30">
        <v>3</v>
      </c>
      <c r="F91" s="30"/>
      <c r="G91" s="35">
        <v>1</v>
      </c>
      <c r="H91" s="100">
        <v>0.7</v>
      </c>
      <c r="I91" s="100">
        <v>0.05</v>
      </c>
      <c r="J91" s="101"/>
      <c r="K91" s="101">
        <v>0.02</v>
      </c>
      <c r="L91" s="101">
        <v>0</v>
      </c>
      <c r="M91" s="101">
        <v>0.05</v>
      </c>
      <c r="N91" s="101"/>
      <c r="O91" s="101">
        <f t="shared" si="26"/>
        <v>0.18000000000000005</v>
      </c>
    </row>
    <row r="92" spans="2:15" x14ac:dyDescent="0.25">
      <c r="B92" s="26" t="s">
        <v>92</v>
      </c>
      <c r="C92" s="87">
        <v>45000</v>
      </c>
      <c r="D92" s="30"/>
      <c r="E92" s="30">
        <v>4</v>
      </c>
      <c r="F92" s="30"/>
      <c r="G92" s="35">
        <v>1</v>
      </c>
      <c r="H92" s="102">
        <v>0.7</v>
      </c>
      <c r="I92" s="100">
        <v>0.05</v>
      </c>
      <c r="J92" s="101"/>
      <c r="K92" s="101">
        <v>0.02</v>
      </c>
      <c r="L92" s="101">
        <v>0</v>
      </c>
      <c r="M92" s="101">
        <v>0.05</v>
      </c>
      <c r="N92" s="101"/>
      <c r="O92" s="101">
        <f t="shared" si="26"/>
        <v>0.18000000000000005</v>
      </c>
    </row>
    <row r="93" spans="2:15" x14ac:dyDescent="0.25">
      <c r="B93" s="26" t="s">
        <v>26</v>
      </c>
      <c r="C93" s="87">
        <v>0</v>
      </c>
      <c r="D93" s="30"/>
      <c r="E93" s="30">
        <v>10</v>
      </c>
      <c r="F93" s="30"/>
      <c r="G93" s="35">
        <v>1</v>
      </c>
      <c r="H93" s="100">
        <v>0</v>
      </c>
      <c r="I93" s="100">
        <v>0</v>
      </c>
      <c r="J93" s="101"/>
      <c r="K93" s="101">
        <v>0</v>
      </c>
      <c r="L93" s="101">
        <v>0</v>
      </c>
      <c r="M93" s="101"/>
      <c r="N93" s="101"/>
      <c r="O93" s="101">
        <f t="shared" si="26"/>
        <v>1</v>
      </c>
    </row>
    <row r="94" spans="2:15" x14ac:dyDescent="0.25">
      <c r="C94" s="52"/>
      <c r="E94" s="6" t="s">
        <v>283</v>
      </c>
    </row>
  </sheetData>
  <mergeCells count="4">
    <mergeCell ref="L2:N2"/>
    <mergeCell ref="I20:L20"/>
    <mergeCell ref="I55:L55"/>
    <mergeCell ref="N72:P7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3"/>
  <sheetViews>
    <sheetView workbookViewId="0"/>
  </sheetViews>
  <sheetFormatPr defaultColWidth="8.85546875" defaultRowHeight="15" x14ac:dyDescent="0.25"/>
  <cols>
    <col min="1" max="1" width="3.42578125" style="6" customWidth="1"/>
    <col min="2" max="2" width="20.7109375" style="6" customWidth="1"/>
    <col min="3" max="3" width="16.42578125" style="6" customWidth="1"/>
    <col min="4" max="8" width="8.85546875" style="6"/>
    <col min="9" max="9" width="20.7109375" style="6" customWidth="1"/>
    <col min="10" max="10" width="16.7109375" style="6" customWidth="1"/>
    <col min="11" max="16384" width="8.85546875" style="6"/>
  </cols>
  <sheetData>
    <row r="2" spans="2:23" ht="21" x14ac:dyDescent="0.35">
      <c r="B2" s="124" t="s">
        <v>313</v>
      </c>
      <c r="C2" s="124"/>
      <c r="D2" s="124"/>
      <c r="E2" s="124"/>
      <c r="F2" s="124"/>
      <c r="G2" s="124"/>
      <c r="H2" s="124"/>
      <c r="I2" s="124" t="s">
        <v>307</v>
      </c>
      <c r="J2" s="124"/>
      <c r="K2" s="124"/>
      <c r="L2" s="125"/>
      <c r="M2" s="125"/>
      <c r="N2" s="125"/>
      <c r="O2" s="125"/>
      <c r="P2" s="125"/>
      <c r="Q2" s="125"/>
      <c r="S2" s="124" t="s">
        <v>317</v>
      </c>
      <c r="W2" s="125"/>
    </row>
    <row r="3" spans="2:23" ht="18.75" customHeight="1" x14ac:dyDescent="0.3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  <c r="N3" s="125"/>
      <c r="O3" s="125"/>
      <c r="P3" s="125"/>
      <c r="Q3" s="125"/>
      <c r="W3" s="125"/>
    </row>
    <row r="4" spans="2:23" ht="18.75" customHeight="1" x14ac:dyDescent="0.3">
      <c r="B4" s="57" t="s">
        <v>306</v>
      </c>
      <c r="C4" s="12"/>
      <c r="D4" s="12"/>
      <c r="E4" s="7"/>
      <c r="F4" s="7"/>
      <c r="G4" s="7"/>
      <c r="H4" s="7"/>
      <c r="I4" s="57" t="s">
        <v>151</v>
      </c>
      <c r="J4" s="7"/>
      <c r="K4" s="7"/>
    </row>
    <row r="5" spans="2:23" x14ac:dyDescent="0.25">
      <c r="B5" s="7" t="s">
        <v>143</v>
      </c>
      <c r="C5" s="5" t="s">
        <v>95</v>
      </c>
      <c r="D5" s="7"/>
      <c r="E5" s="7"/>
      <c r="F5" s="7"/>
      <c r="G5" s="7"/>
      <c r="H5" s="7"/>
      <c r="I5" s="7" t="s">
        <v>164</v>
      </c>
      <c r="J5" s="9" t="s">
        <v>152</v>
      </c>
      <c r="K5" s="15"/>
      <c r="L5" s="10">
        <v>0.5</v>
      </c>
      <c r="M5" s="7" t="s">
        <v>208</v>
      </c>
    </row>
    <row r="6" spans="2:23" x14ac:dyDescent="0.25">
      <c r="B6" s="7" t="s">
        <v>0</v>
      </c>
      <c r="C6" s="5" t="s">
        <v>1</v>
      </c>
      <c r="D6" s="7"/>
      <c r="E6" s="7"/>
      <c r="F6" s="7"/>
      <c r="G6" s="7"/>
      <c r="H6" s="7"/>
      <c r="I6" s="7" t="s">
        <v>165</v>
      </c>
      <c r="J6" s="9" t="s">
        <v>114</v>
      </c>
      <c r="K6" s="15"/>
      <c r="L6" s="10">
        <v>0.3</v>
      </c>
    </row>
    <row r="7" spans="2:23" x14ac:dyDescent="0.25">
      <c r="B7" s="7" t="s">
        <v>2</v>
      </c>
      <c r="C7" s="11">
        <v>4637229</v>
      </c>
      <c r="D7" s="7" t="s">
        <v>3</v>
      </c>
      <c r="E7" s="7"/>
      <c r="F7" s="7"/>
      <c r="G7" s="7"/>
      <c r="H7" s="7"/>
      <c r="I7" s="7" t="s">
        <v>166</v>
      </c>
      <c r="J7" s="9" t="s">
        <v>149</v>
      </c>
      <c r="K7" s="15"/>
      <c r="L7" s="10">
        <v>0.08</v>
      </c>
    </row>
    <row r="8" spans="2:23" x14ac:dyDescent="0.25">
      <c r="B8" s="7" t="s">
        <v>153</v>
      </c>
      <c r="C8" s="11">
        <v>256827</v>
      </c>
      <c r="D8" s="7" t="s">
        <v>6</v>
      </c>
      <c r="E8" s="7"/>
      <c r="F8" s="7"/>
      <c r="G8" s="7"/>
      <c r="H8" s="7"/>
      <c r="I8" s="7" t="s">
        <v>167</v>
      </c>
      <c r="J8" s="9" t="s">
        <v>285</v>
      </c>
      <c r="K8" s="15"/>
      <c r="L8" s="10">
        <v>0.11</v>
      </c>
    </row>
    <row r="9" spans="2:23" x14ac:dyDescent="0.25">
      <c r="B9" s="7" t="s">
        <v>154</v>
      </c>
      <c r="C9" s="10">
        <v>0.95</v>
      </c>
      <c r="D9" s="7" t="s">
        <v>148</v>
      </c>
      <c r="E9" s="7"/>
      <c r="F9" s="7"/>
      <c r="G9" s="7"/>
      <c r="H9" s="7"/>
      <c r="I9" s="7" t="s">
        <v>168</v>
      </c>
      <c r="J9" s="9" t="s">
        <v>121</v>
      </c>
      <c r="K9" s="15"/>
      <c r="L9" s="10">
        <v>0.01</v>
      </c>
    </row>
    <row r="10" spans="2:23" x14ac:dyDescent="0.25">
      <c r="B10" s="7" t="s">
        <v>155</v>
      </c>
      <c r="C10" s="10">
        <v>0.05</v>
      </c>
      <c r="D10" s="7" t="s">
        <v>148</v>
      </c>
      <c r="E10" s="7"/>
      <c r="F10" s="7"/>
      <c r="G10" s="7"/>
      <c r="H10" s="7"/>
      <c r="I10" s="7"/>
      <c r="J10" s="7"/>
      <c r="K10" s="7"/>
      <c r="L10" s="7"/>
    </row>
    <row r="11" spans="2:23" x14ac:dyDescent="0.25">
      <c r="B11" s="7" t="s">
        <v>4</v>
      </c>
      <c r="C11" s="8">
        <f>C7/C8</f>
        <v>18.055846931981449</v>
      </c>
      <c r="D11" s="7" t="s">
        <v>5</v>
      </c>
      <c r="E11" s="7"/>
      <c r="F11" s="7"/>
      <c r="G11" s="7"/>
      <c r="H11" s="7"/>
      <c r="I11" s="7"/>
      <c r="J11" s="7"/>
      <c r="K11" s="7"/>
      <c r="L11" s="19"/>
    </row>
    <row r="12" spans="2:23" x14ac:dyDescent="0.25">
      <c r="B12" s="7"/>
      <c r="C12" s="7"/>
      <c r="D12" s="7"/>
      <c r="E12" s="7"/>
      <c r="F12" s="7"/>
      <c r="G12" s="7"/>
      <c r="H12" s="7"/>
      <c r="I12" s="7" t="s">
        <v>187</v>
      </c>
      <c r="J12" s="9" t="s">
        <v>152</v>
      </c>
      <c r="K12" s="15"/>
      <c r="L12" s="10">
        <v>1</v>
      </c>
    </row>
    <row r="13" spans="2:23" x14ac:dyDescent="0.25">
      <c r="B13" s="7" t="s">
        <v>7</v>
      </c>
      <c r="C13" s="7"/>
      <c r="D13" s="7"/>
      <c r="E13" s="7"/>
      <c r="F13" s="7"/>
      <c r="G13" s="7"/>
      <c r="H13" s="7"/>
      <c r="I13" s="7"/>
      <c r="J13" s="9" t="s">
        <v>114</v>
      </c>
      <c r="K13" s="15"/>
      <c r="L13" s="10" t="s">
        <v>226</v>
      </c>
    </row>
    <row r="14" spans="2:23" x14ac:dyDescent="0.25">
      <c r="B14" s="7" t="s">
        <v>156</v>
      </c>
      <c r="C14" s="9">
        <v>240</v>
      </c>
      <c r="D14" s="7" t="s">
        <v>237</v>
      </c>
      <c r="E14" s="7"/>
      <c r="F14" s="7"/>
      <c r="G14" s="7"/>
      <c r="H14" s="7"/>
      <c r="I14" s="7"/>
      <c r="J14" s="9" t="s">
        <v>149</v>
      </c>
      <c r="K14" s="15"/>
      <c r="L14" s="10"/>
    </row>
    <row r="15" spans="2:23" x14ac:dyDescent="0.25">
      <c r="B15" s="7" t="s">
        <v>157</v>
      </c>
      <c r="C15" s="9"/>
      <c r="D15" s="7" t="s">
        <v>8</v>
      </c>
      <c r="E15" s="7" t="s">
        <v>150</v>
      </c>
      <c r="F15" s="7"/>
      <c r="G15" s="7"/>
      <c r="H15" s="7"/>
      <c r="I15" s="7"/>
      <c r="J15" s="9" t="s">
        <v>285</v>
      </c>
      <c r="K15" s="15"/>
      <c r="L15" s="10">
        <v>0.25</v>
      </c>
    </row>
    <row r="16" spans="2:23" x14ac:dyDescent="0.25">
      <c r="B16" s="7" t="s">
        <v>158</v>
      </c>
      <c r="C16" s="9"/>
      <c r="D16" s="7" t="s">
        <v>8</v>
      </c>
      <c r="E16" s="7"/>
      <c r="F16" s="7"/>
      <c r="G16" s="7"/>
      <c r="H16" s="7"/>
      <c r="I16" s="7"/>
      <c r="J16" s="9" t="s">
        <v>121</v>
      </c>
      <c r="K16" s="15"/>
      <c r="L16" s="10">
        <v>0.25</v>
      </c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19"/>
    </row>
    <row r="18" spans="2:13" x14ac:dyDescent="0.25">
      <c r="B18" s="7" t="s">
        <v>159</v>
      </c>
      <c r="C18" s="9">
        <v>2800</v>
      </c>
      <c r="D18" s="7" t="s">
        <v>8</v>
      </c>
      <c r="E18" s="7" t="s">
        <v>114</v>
      </c>
      <c r="F18" s="7"/>
      <c r="G18" s="7"/>
      <c r="H18" s="7"/>
      <c r="I18" s="7"/>
      <c r="J18" s="7" t="s">
        <v>186</v>
      </c>
      <c r="K18" s="7"/>
    </row>
    <row r="19" spans="2:13" x14ac:dyDescent="0.25">
      <c r="B19" s="7" t="s">
        <v>160</v>
      </c>
      <c r="C19" s="9"/>
      <c r="D19" s="7" t="s">
        <v>8</v>
      </c>
      <c r="E19" s="7"/>
      <c r="F19" s="7"/>
      <c r="G19" s="7"/>
      <c r="H19" s="7"/>
      <c r="I19" s="7"/>
      <c r="J19" s="17">
        <f>C7*L6</f>
        <v>1391168.7</v>
      </c>
      <c r="K19" s="7" t="s">
        <v>181</v>
      </c>
      <c r="M19" s="6" t="s">
        <v>238</v>
      </c>
    </row>
    <row r="20" spans="2:13" x14ac:dyDescent="0.25">
      <c r="B20" s="7" t="s">
        <v>161</v>
      </c>
      <c r="C20" s="9"/>
      <c r="D20" s="7" t="s">
        <v>8</v>
      </c>
      <c r="E20" s="7"/>
      <c r="F20" s="7"/>
      <c r="G20" s="7"/>
      <c r="H20" s="7"/>
      <c r="I20" s="7"/>
      <c r="J20" s="18">
        <f>J19*0.21</f>
        <v>292145.42699999997</v>
      </c>
      <c r="K20" s="7" t="s">
        <v>182</v>
      </c>
      <c r="M20" s="6" t="s">
        <v>184</v>
      </c>
    </row>
    <row r="21" spans="2:13" x14ac:dyDescent="0.25">
      <c r="B21" s="7" t="s">
        <v>162</v>
      </c>
      <c r="C21" s="9"/>
      <c r="D21" s="7" t="s">
        <v>8</v>
      </c>
      <c r="E21" s="7"/>
      <c r="F21" s="7"/>
      <c r="G21" s="7"/>
      <c r="H21" s="7"/>
      <c r="I21" s="7"/>
      <c r="J21" s="18">
        <f>J19*0.25</f>
        <v>347792.17499999999</v>
      </c>
      <c r="K21" s="7" t="s">
        <v>182</v>
      </c>
      <c r="M21" s="6" t="s">
        <v>185</v>
      </c>
    </row>
    <row r="22" spans="2:13" x14ac:dyDescent="0.25">
      <c r="B22" s="7" t="s">
        <v>163</v>
      </c>
      <c r="C22" s="9"/>
      <c r="D22" s="7" t="s">
        <v>8</v>
      </c>
      <c r="E22" s="7"/>
      <c r="F22" s="7"/>
      <c r="G22" s="7"/>
      <c r="H22" s="7"/>
      <c r="I22" s="7"/>
      <c r="J22" s="18"/>
      <c r="K22" s="7"/>
    </row>
    <row r="23" spans="2:13" x14ac:dyDescent="0.25">
      <c r="B23" s="7"/>
      <c r="C23" s="7"/>
      <c r="D23" s="7"/>
      <c r="E23" s="7"/>
      <c r="F23" s="7"/>
      <c r="G23" s="7"/>
      <c r="H23" s="7"/>
      <c r="I23" s="7"/>
    </row>
    <row r="24" spans="2:13" x14ac:dyDescent="0.25">
      <c r="B24" s="7" t="s">
        <v>236</v>
      </c>
      <c r="C24" s="7"/>
      <c r="I24" s="7"/>
      <c r="J24" s="7" t="s">
        <v>210</v>
      </c>
      <c r="K24" s="7"/>
    </row>
    <row r="25" spans="2:13" x14ac:dyDescent="0.25">
      <c r="B25" s="17">
        <f>C7*C14</f>
        <v>1112934960</v>
      </c>
      <c r="C25" s="7" t="s">
        <v>235</v>
      </c>
      <c r="I25" s="7"/>
      <c r="J25" s="17">
        <f>C7*L5/2</f>
        <v>1159307.25</v>
      </c>
      <c r="K25" s="7" t="s">
        <v>209</v>
      </c>
      <c r="M25" s="6" t="s">
        <v>300</v>
      </c>
    </row>
    <row r="27" spans="2:13" x14ac:dyDescent="0.25">
      <c r="B27" s="7" t="s">
        <v>299</v>
      </c>
      <c r="C27" s="7" t="s">
        <v>303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x14ac:dyDescent="0.25">
      <c r="C28" s="7" t="s">
        <v>301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x14ac:dyDescent="0.25">
      <c r="C29" s="7" t="s">
        <v>314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x14ac:dyDescent="0.25">
      <c r="C30" s="7" t="s">
        <v>302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x14ac:dyDescent="0.25">
      <c r="C31" s="7" t="s">
        <v>304</v>
      </c>
      <c r="I31" s="7"/>
      <c r="J31" s="7"/>
      <c r="K31" s="7"/>
    </row>
    <row r="32" spans="2:13" x14ac:dyDescent="0.25">
      <c r="I32" s="7"/>
    </row>
    <row r="33" spans="8:8" x14ac:dyDescent="0.25">
      <c r="H33" s="1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/>
  </sheetViews>
  <sheetFormatPr defaultColWidth="8.85546875" defaultRowHeight="15" x14ac:dyDescent="0.25"/>
  <cols>
    <col min="1" max="1" width="4.7109375" style="6" customWidth="1"/>
    <col min="2" max="10" width="12.7109375" style="6" customWidth="1"/>
    <col min="11" max="12" width="14.42578125" style="6" customWidth="1"/>
    <col min="13" max="13" width="14.7109375" style="6" customWidth="1"/>
    <col min="14" max="17" width="12.7109375" style="6" customWidth="1"/>
    <col min="18" max="16384" width="8.85546875" style="6"/>
  </cols>
  <sheetData>
    <row r="2" spans="1:13" ht="18.75" x14ac:dyDescent="0.3">
      <c r="A2" s="12" t="s">
        <v>227</v>
      </c>
      <c r="D2" s="136" t="str">
        <f>Overview!C6</f>
        <v>Cassava</v>
      </c>
      <c r="E2" s="136"/>
      <c r="G2" s="12" t="s">
        <v>143</v>
      </c>
      <c r="H2" s="136" t="str">
        <f>Overview!C5</f>
        <v>Brong Ahafo</v>
      </c>
      <c r="I2" s="136"/>
      <c r="K2" s="137"/>
      <c r="L2" s="137"/>
      <c r="M2" s="137"/>
    </row>
  </sheetData>
  <mergeCells count="3">
    <mergeCell ref="H2:I2"/>
    <mergeCell ref="D2:E2"/>
    <mergeCell ref="K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ColWidth="8.85546875" defaultRowHeight="15" x14ac:dyDescent="0.25"/>
  <cols>
    <col min="1" max="1" width="22.28515625" style="6" customWidth="1"/>
    <col min="2" max="9" width="14.7109375" style="6" customWidth="1"/>
    <col min="10" max="11" width="14.42578125" style="6" customWidth="1"/>
    <col min="12" max="16384" width="8.85546875" style="6"/>
  </cols>
  <sheetData>
    <row r="1" spans="1:16" ht="18.75" x14ac:dyDescent="0.3">
      <c r="A1" s="12" t="s">
        <v>218</v>
      </c>
    </row>
    <row r="2" spans="1:16" x14ac:dyDescent="0.25">
      <c r="A2" s="36"/>
      <c r="B2" s="36"/>
      <c r="C2" s="36"/>
      <c r="D2" s="36"/>
      <c r="E2" s="36"/>
      <c r="F2" s="36"/>
      <c r="G2" s="36"/>
      <c r="H2" s="36"/>
      <c r="I2" s="36"/>
      <c r="J2" s="137"/>
      <c r="K2" s="137"/>
      <c r="L2" s="137"/>
    </row>
    <row r="3" spans="1:16" x14ac:dyDescent="0.25">
      <c r="A3" s="7" t="s">
        <v>173</v>
      </c>
      <c r="B3" s="138" t="str">
        <f>Overview!C6</f>
        <v>Cassava</v>
      </c>
      <c r="C3" s="138"/>
      <c r="D3" s="36"/>
      <c r="E3" s="7" t="s">
        <v>143</v>
      </c>
      <c r="F3" s="138" t="str">
        <f>Overview!C5</f>
        <v>Brong Ahafo</v>
      </c>
      <c r="G3" s="138"/>
      <c r="H3" s="36"/>
      <c r="I3" s="7"/>
      <c r="J3" s="36"/>
      <c r="K3" s="36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275</v>
      </c>
      <c r="L4" s="7"/>
      <c r="M4" s="7"/>
      <c r="N4" s="7"/>
      <c r="O4" s="7"/>
      <c r="P4" s="7"/>
    </row>
    <row r="5" spans="1:16" x14ac:dyDescent="0.25">
      <c r="A5" s="7" t="s">
        <v>269</v>
      </c>
      <c r="B5" s="7" t="s">
        <v>271</v>
      </c>
      <c r="C5" s="7"/>
      <c r="D5" s="7"/>
      <c r="E5" s="7" t="s">
        <v>273</v>
      </c>
      <c r="F5" s="7"/>
      <c r="G5" s="7"/>
      <c r="H5" s="18">
        <f>K17+K18+K19</f>
        <v>1263390025.173609</v>
      </c>
      <c r="I5" s="8">
        <f>H5/H6</f>
        <v>0.67776028083694018</v>
      </c>
      <c r="J5" s="7"/>
      <c r="K5" s="7" t="s">
        <v>276</v>
      </c>
      <c r="L5" s="7"/>
      <c r="M5" s="7"/>
      <c r="N5" s="7"/>
      <c r="O5" s="7"/>
      <c r="P5" s="7"/>
    </row>
    <row r="6" spans="1:16" x14ac:dyDescent="0.25">
      <c r="A6" s="7"/>
      <c r="B6" s="7" t="s">
        <v>270</v>
      </c>
      <c r="C6" s="7"/>
      <c r="D6" s="7"/>
      <c r="E6" s="7" t="s">
        <v>274</v>
      </c>
      <c r="F6" s="7"/>
      <c r="G6" s="7"/>
      <c r="H6" s="18">
        <f>K23-K15</f>
        <v>1864066191.0926635</v>
      </c>
      <c r="I6" s="7"/>
      <c r="J6" s="7"/>
      <c r="K6" s="7" t="s">
        <v>277</v>
      </c>
      <c r="L6" s="7"/>
      <c r="M6" s="7"/>
      <c r="N6" s="7"/>
      <c r="O6" s="7"/>
      <c r="P6" s="7"/>
    </row>
    <row r="7" spans="1:16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 t="s">
        <v>278</v>
      </c>
      <c r="L7" s="7"/>
      <c r="M7" s="7"/>
      <c r="N7" s="7"/>
      <c r="O7" s="7"/>
      <c r="P7" s="7"/>
    </row>
    <row r="8" spans="1:16" x14ac:dyDescent="0.25">
      <c r="A8" s="7"/>
      <c r="B8" s="7" t="s">
        <v>272</v>
      </c>
      <c r="C8" s="7"/>
      <c r="D8" s="7"/>
      <c r="E8" s="7" t="s">
        <v>273</v>
      </c>
      <c r="F8" s="7"/>
      <c r="G8" s="7"/>
      <c r="H8" s="18">
        <f>K27+K28+K29</f>
        <v>1582337820.0576813</v>
      </c>
      <c r="I8" s="8">
        <f>H8/H9</f>
        <v>0.59562244862781555</v>
      </c>
      <c r="J8" s="7"/>
      <c r="K8" s="7" t="s">
        <v>279</v>
      </c>
      <c r="L8" s="7"/>
      <c r="M8" s="7"/>
      <c r="N8" s="7"/>
      <c r="O8" s="7"/>
      <c r="P8" s="7"/>
    </row>
    <row r="9" spans="1:16" x14ac:dyDescent="0.25">
      <c r="A9" s="7"/>
      <c r="B9" s="7" t="s">
        <v>270</v>
      </c>
      <c r="C9" s="7"/>
      <c r="D9" s="7"/>
      <c r="E9" s="7" t="s">
        <v>274</v>
      </c>
      <c r="F9" s="7"/>
      <c r="G9" s="7"/>
      <c r="H9" s="18">
        <f>K33-K25</f>
        <v>2656612126.8650017</v>
      </c>
      <c r="I9" s="7"/>
      <c r="J9" s="7"/>
      <c r="K9" s="7" t="s">
        <v>280</v>
      </c>
      <c r="L9" s="7"/>
      <c r="M9" s="7"/>
      <c r="N9" s="7"/>
      <c r="O9" s="7"/>
      <c r="P9" s="7"/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281</v>
      </c>
      <c r="L10" s="7"/>
      <c r="M10" s="7"/>
      <c r="N10" s="7"/>
      <c r="O10" s="7"/>
      <c r="P10" s="7"/>
    </row>
    <row r="11" spans="1:16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7" t="s">
        <v>282</v>
      </c>
      <c r="L11" s="7"/>
      <c r="M11" s="7"/>
      <c r="N11" s="7"/>
      <c r="O11" s="7"/>
      <c r="P11" s="7"/>
    </row>
    <row r="12" spans="1:16" x14ac:dyDescent="0.25">
      <c r="A12" s="7" t="s">
        <v>239</v>
      </c>
      <c r="B12" s="138" t="s">
        <v>263</v>
      </c>
      <c r="C12" s="138"/>
      <c r="D12" s="7"/>
      <c r="E12" s="37" t="str">
        <f>'Proc Gari'!B2</f>
        <v>Processing</v>
      </c>
      <c r="F12" s="39" t="str">
        <f>'Sum Processing'!F3</f>
        <v>Gari</v>
      </c>
      <c r="G12" s="7"/>
      <c r="H12" s="138" t="str">
        <f>'Trade WS'!B2</f>
        <v>Trading (fresh, WS)</v>
      </c>
      <c r="I12" s="138"/>
      <c r="J12" s="36"/>
    </row>
    <row r="13" spans="1:16" x14ac:dyDescent="0.25">
      <c r="J13" s="7" t="s">
        <v>221</v>
      </c>
    </row>
    <row r="14" spans="1:16" x14ac:dyDescent="0.25">
      <c r="A14" s="7" t="s">
        <v>228</v>
      </c>
      <c r="B14" s="7" t="s">
        <v>171</v>
      </c>
      <c r="C14" s="7" t="s">
        <v>172</v>
      </c>
      <c r="E14" s="7" t="s">
        <v>213</v>
      </c>
      <c r="F14" s="7" t="s">
        <v>191</v>
      </c>
      <c r="H14" s="28" t="s">
        <v>234</v>
      </c>
      <c r="K14" s="22" t="s">
        <v>219</v>
      </c>
    </row>
    <row r="15" spans="1:16" x14ac:dyDescent="0.25">
      <c r="A15" s="6" t="s">
        <v>145</v>
      </c>
      <c r="B15" s="16">
        <f>'Sum Production'!C37</f>
        <v>98693079.994974062</v>
      </c>
      <c r="C15" s="16">
        <f>'Sum Production'!C39</f>
        <v>11877634.672362551</v>
      </c>
      <c r="E15" s="21">
        <f>'Sum Processing'!D40</f>
        <v>9380500</v>
      </c>
      <c r="F15" s="21">
        <f>'Sum Processing'!D42</f>
        <v>115425</v>
      </c>
      <c r="H15" s="21">
        <f>'Sum Trade'!D39</f>
        <v>24426000</v>
      </c>
      <c r="J15" s="6" t="s">
        <v>145</v>
      </c>
      <c r="K15" s="21">
        <f t="shared" ref="K15:K22" si="0">SUM(B15:J15)</f>
        <v>144492639.66733661</v>
      </c>
    </row>
    <row r="16" spans="1:16" x14ac:dyDescent="0.25">
      <c r="A16" s="6" t="s">
        <v>169</v>
      </c>
      <c r="B16" s="16">
        <f>'Sum Production'!D37</f>
        <v>14668368.480870001</v>
      </c>
      <c r="C16" s="16">
        <f>'Sum Production'!D39</f>
        <v>1968110.2457250003</v>
      </c>
      <c r="E16" s="21">
        <f>'Sum Processing'!E40</f>
        <v>4854500</v>
      </c>
      <c r="F16" s="21">
        <f>'Sum Processing'!E42</f>
        <v>89692.5</v>
      </c>
      <c r="G16" s="21"/>
      <c r="H16" s="21">
        <f>'Sum Trade'!E39</f>
        <v>8004000</v>
      </c>
      <c r="J16" s="6" t="s">
        <v>169</v>
      </c>
      <c r="K16" s="21">
        <f t="shared" si="0"/>
        <v>29584671.226594999</v>
      </c>
    </row>
    <row r="17" spans="1:11" x14ac:dyDescent="0.25">
      <c r="A17" s="6" t="s">
        <v>67</v>
      </c>
      <c r="B17" s="16">
        <f>'Sum Production'!E37</f>
        <v>66290901.105000004</v>
      </c>
      <c r="C17" s="16">
        <f>'Sum Production'!E39</f>
        <v>3488994.7950000004</v>
      </c>
      <c r="E17" s="21">
        <f>'Sum Processing'!F40</f>
        <v>0</v>
      </c>
      <c r="F17" s="21">
        <f>'Sum Processing'!F42</f>
        <v>0</v>
      </c>
      <c r="G17" s="21"/>
      <c r="H17" s="21">
        <f>'Sum Trade'!F39</f>
        <v>0</v>
      </c>
      <c r="J17" s="6" t="s">
        <v>67</v>
      </c>
      <c r="K17" s="21">
        <f t="shared" si="0"/>
        <v>69779895.900000006</v>
      </c>
    </row>
    <row r="18" spans="1:11" x14ac:dyDescent="0.25">
      <c r="A18" s="6" t="s">
        <v>68</v>
      </c>
      <c r="B18" s="16">
        <f>'Sum Production'!F37</f>
        <v>948945209.64974248</v>
      </c>
      <c r="C18" s="16">
        <f>'Sum Production'!F39</f>
        <v>54440280.503473319</v>
      </c>
      <c r="E18" s="21">
        <f>'Sum Processing'!G40</f>
        <v>115675800</v>
      </c>
      <c r="F18" s="21">
        <f>'Sum Processing'!G42</f>
        <v>565632</v>
      </c>
      <c r="G18" s="21"/>
      <c r="H18" s="21">
        <f>'Sum Trade'!G39</f>
        <v>52003000</v>
      </c>
      <c r="J18" s="6" t="s">
        <v>68</v>
      </c>
      <c r="K18" s="21">
        <f t="shared" si="0"/>
        <v>1171629922.1532159</v>
      </c>
    </row>
    <row r="19" spans="1:11" x14ac:dyDescent="0.25">
      <c r="A19" s="6" t="s">
        <v>45</v>
      </c>
      <c r="B19" s="16">
        <f>'Sum Production'!G37</f>
        <v>12910906.295893127</v>
      </c>
      <c r="C19" s="16">
        <f>'Sum Production'!G39</f>
        <v>666080.8245000001</v>
      </c>
      <c r="E19" s="21">
        <f>'Sum Processing'!H40</f>
        <v>1606000</v>
      </c>
      <c r="F19" s="21">
        <f>'Sum Processing'!H42</f>
        <v>35220</v>
      </c>
      <c r="G19" s="21"/>
      <c r="H19" s="21">
        <f>'Sum Trade'!H39</f>
        <v>6762000</v>
      </c>
      <c r="J19" s="6" t="s">
        <v>45</v>
      </c>
      <c r="K19" s="21">
        <f t="shared" si="0"/>
        <v>21980207.120393127</v>
      </c>
    </row>
    <row r="20" spans="1:11" x14ac:dyDescent="0.25">
      <c r="A20" s="6" t="s">
        <v>170</v>
      </c>
      <c r="B20" s="16">
        <f>'Sum Production'!H37</f>
        <v>16380150.208539976</v>
      </c>
      <c r="C20" s="16">
        <f>'Sum Production'!H39</f>
        <v>2661630.4283809499</v>
      </c>
      <c r="E20" s="21">
        <f>'Sum Processing'!I40</f>
        <v>5146500</v>
      </c>
      <c r="F20" s="21">
        <f>'Sum Processing'!I42</f>
        <v>259560</v>
      </c>
      <c r="G20" s="21"/>
      <c r="H20" s="21">
        <f>'Sum Trade'!I39</f>
        <v>31021480</v>
      </c>
      <c r="J20" s="6" t="s">
        <v>170</v>
      </c>
      <c r="K20" s="21">
        <f t="shared" si="0"/>
        <v>55469320.636920929</v>
      </c>
    </row>
    <row r="21" spans="1:11" x14ac:dyDescent="0.25">
      <c r="A21" s="6" t="s">
        <v>47</v>
      </c>
      <c r="B21" s="16">
        <f>'Sum Production'!I37</f>
        <v>0</v>
      </c>
      <c r="C21" s="16">
        <f>'Sum Production'!I39</f>
        <v>0</v>
      </c>
      <c r="E21" s="21">
        <f>'Sum Processing'!J40</f>
        <v>0</v>
      </c>
      <c r="F21" s="21">
        <f>'Sum Processing'!J42</f>
        <v>0</v>
      </c>
      <c r="G21" s="21"/>
      <c r="H21" s="21">
        <f>'Sum Trade'!J39</f>
        <v>0</v>
      </c>
      <c r="J21" s="6" t="s">
        <v>47</v>
      </c>
      <c r="K21" s="21">
        <f t="shared" si="0"/>
        <v>0</v>
      </c>
    </row>
    <row r="22" spans="1:11" x14ac:dyDescent="0.25">
      <c r="A22" s="6" t="s">
        <v>53</v>
      </c>
      <c r="B22" s="16">
        <f>'Sum Production'!J37</f>
        <v>-811069.17501966562</v>
      </c>
      <c r="C22" s="16">
        <f>'Sum Production'!J39</f>
        <v>39082552.730558187</v>
      </c>
      <c r="E22" s="21">
        <f>'Sum Processing'!K40</f>
        <v>347180700</v>
      </c>
      <c r="F22" s="21">
        <f>'Sum Processing'!K42</f>
        <v>674470.5</v>
      </c>
      <c r="G22" s="21"/>
      <c r="H22" s="21">
        <f>'Sum Trade'!K39</f>
        <v>129495520</v>
      </c>
      <c r="J22" s="6" t="s">
        <v>53</v>
      </c>
      <c r="K22" s="21">
        <f t="shared" si="0"/>
        <v>515622174.05553854</v>
      </c>
    </row>
    <row r="23" spans="1:11" x14ac:dyDescent="0.25">
      <c r="A23" s="33" t="s">
        <v>225</v>
      </c>
      <c r="B23" s="34">
        <f>SUM(B15:B22)</f>
        <v>1157077546.5599999</v>
      </c>
      <c r="C23" s="34">
        <f t="shared" ref="C23:F23" si="1">SUM(C15:C22)</f>
        <v>114185284.2</v>
      </c>
      <c r="D23" s="34"/>
      <c r="E23" s="34">
        <f t="shared" si="1"/>
        <v>483844000</v>
      </c>
      <c r="F23" s="34">
        <f t="shared" si="1"/>
        <v>1740000</v>
      </c>
      <c r="G23" s="34"/>
      <c r="H23" s="34">
        <f t="shared" ref="H23" si="2">SUM(H15:H22)</f>
        <v>251712000</v>
      </c>
      <c r="I23" s="34"/>
      <c r="J23" s="34" t="s">
        <v>225</v>
      </c>
      <c r="K23" s="34">
        <f>SUM(K15:K22)</f>
        <v>2008558830.7600002</v>
      </c>
    </row>
    <row r="24" spans="1:11" x14ac:dyDescent="0.25">
      <c r="A24" s="7" t="s">
        <v>174</v>
      </c>
      <c r="B24" s="7" t="s">
        <v>171</v>
      </c>
      <c r="C24" s="7" t="s">
        <v>172</v>
      </c>
      <c r="E24" s="7" t="s">
        <v>190</v>
      </c>
      <c r="F24" s="7" t="s">
        <v>191</v>
      </c>
      <c r="H24" s="28" t="s">
        <v>234</v>
      </c>
      <c r="K24" s="23" t="s">
        <v>220</v>
      </c>
    </row>
    <row r="25" spans="1:11" x14ac:dyDescent="0.25">
      <c r="A25" s="6" t="s">
        <v>145</v>
      </c>
      <c r="B25" s="16">
        <f>'Sum Production'!C38</f>
        <v>136348315.61576107</v>
      </c>
      <c r="C25" s="16">
        <f>'Sum Production'!C40</f>
        <v>13635347.959237553</v>
      </c>
      <c r="E25" s="21">
        <f>'Sum Processing'!D41</f>
        <v>11023000</v>
      </c>
      <c r="F25" s="21">
        <f>'Sum Processing'!D43</f>
        <v>226575</v>
      </c>
      <c r="H25" s="21">
        <f>'Sum Trade'!D40</f>
        <v>24426000</v>
      </c>
      <c r="J25" s="6" t="s">
        <v>145</v>
      </c>
      <c r="K25" s="21">
        <f t="shared" ref="K25:K33" si="3">SUM(B25:J25)</f>
        <v>185659238.57499862</v>
      </c>
    </row>
    <row r="26" spans="1:11" x14ac:dyDescent="0.25">
      <c r="A26" s="6" t="s">
        <v>169</v>
      </c>
      <c r="B26" s="16">
        <f>'Sum Production'!D38</f>
        <v>17422454.099505</v>
      </c>
      <c r="C26" s="16">
        <f>'Sum Production'!D40</f>
        <v>2375159.6384749999</v>
      </c>
      <c r="E26" s="21">
        <f>'Sum Processing'!E41</f>
        <v>6132000</v>
      </c>
      <c r="F26" s="21">
        <f>'Sum Processing'!E43</f>
        <v>162887.5</v>
      </c>
      <c r="H26" s="21">
        <f>'Sum Trade'!E40</f>
        <v>8004000</v>
      </c>
      <c r="J26" s="6" t="s">
        <v>169</v>
      </c>
      <c r="K26" s="21">
        <f t="shared" si="3"/>
        <v>34096501.237980001</v>
      </c>
    </row>
    <row r="27" spans="1:11" x14ac:dyDescent="0.25">
      <c r="A27" s="6" t="s">
        <v>67</v>
      </c>
      <c r="B27" s="16">
        <f>'Sum Production'!E38</f>
        <v>66290901.105000004</v>
      </c>
      <c r="C27" s="16">
        <f>'Sum Production'!E40</f>
        <v>3488994.7950000004</v>
      </c>
      <c r="E27" s="21">
        <f>'Sum Processing'!F41</f>
        <v>0</v>
      </c>
      <c r="F27" s="21">
        <f>'Sum Processing'!F43</f>
        <v>0</v>
      </c>
      <c r="H27" s="21">
        <f>'Sum Trade'!F40</f>
        <v>0</v>
      </c>
      <c r="J27" s="6" t="s">
        <v>67</v>
      </c>
      <c r="K27" s="21">
        <f t="shared" si="3"/>
        <v>69779895.900000006</v>
      </c>
    </row>
    <row r="28" spans="1:11" x14ac:dyDescent="0.25">
      <c r="A28" s="6" t="s">
        <v>68</v>
      </c>
      <c r="B28" s="16">
        <f>'Sum Production'!F38</f>
        <v>1239665463.0571089</v>
      </c>
      <c r="C28" s="16">
        <f>'Sum Production'!F40</f>
        <v>66349184.498732686</v>
      </c>
      <c r="E28" s="21">
        <f>'Sum Processing'!G41</f>
        <v>126297300</v>
      </c>
      <c r="F28" s="21">
        <f>'Sum Processing'!G43</f>
        <v>1213470</v>
      </c>
      <c r="H28" s="21">
        <f>'Sum Trade'!G40</f>
        <v>52003000</v>
      </c>
      <c r="J28" s="6" t="s">
        <v>68</v>
      </c>
      <c r="K28" s="21">
        <f t="shared" si="3"/>
        <v>1485528417.5558414</v>
      </c>
    </row>
    <row r="29" spans="1:11" x14ac:dyDescent="0.25">
      <c r="A29" s="6" t="s">
        <v>45</v>
      </c>
      <c r="B29" s="16">
        <f>'Sum Production'!G38</f>
        <v>17558425.777339689</v>
      </c>
      <c r="C29" s="16">
        <f>'Sum Production'!G40</f>
        <v>666080.8245000001</v>
      </c>
      <c r="E29" s="21">
        <f>'Sum Processing'!H41</f>
        <v>1971000</v>
      </c>
      <c r="F29" s="21">
        <f>'Sum Processing'!H43</f>
        <v>72000</v>
      </c>
      <c r="H29" s="21">
        <f>'Sum Trade'!H40</f>
        <v>6762000</v>
      </c>
      <c r="J29" s="6" t="s">
        <v>45</v>
      </c>
      <c r="K29" s="21">
        <f t="shared" si="3"/>
        <v>27029506.601839691</v>
      </c>
    </row>
    <row r="30" spans="1:11" x14ac:dyDescent="0.25">
      <c r="A30" s="6" t="s">
        <v>170</v>
      </c>
      <c r="B30" s="16">
        <f>'Sum Production'!H38</f>
        <v>24208638.579509966</v>
      </c>
      <c r="C30" s="16">
        <f>'Sum Production'!H40</f>
        <v>2661630.4283809499</v>
      </c>
      <c r="E30" s="21">
        <f>'Sum Processing'!I41</f>
        <v>6059000</v>
      </c>
      <c r="F30" s="21">
        <f>'Sum Processing'!I43</f>
        <v>521975</v>
      </c>
      <c r="H30" s="21">
        <f>'Sum Trade'!I40</f>
        <v>31021480</v>
      </c>
      <c r="J30" s="6" t="s">
        <v>170</v>
      </c>
      <c r="K30" s="21">
        <f t="shared" si="3"/>
        <v>64472724.007890917</v>
      </c>
    </row>
    <row r="31" spans="1:11" x14ac:dyDescent="0.25">
      <c r="A31" s="6" t="s">
        <v>47</v>
      </c>
      <c r="B31" s="16">
        <f>'Sum Production'!I38</f>
        <v>0</v>
      </c>
      <c r="C31" s="16">
        <f>'Sum Production'!I40</f>
        <v>0</v>
      </c>
      <c r="E31" s="21">
        <f>'Sum Processing'!J41</f>
        <v>0</v>
      </c>
      <c r="F31" s="21">
        <f>'Sum Processing'!J43</f>
        <v>0</v>
      </c>
      <c r="H31" s="21">
        <f>'Sum Trade'!J40</f>
        <v>0</v>
      </c>
      <c r="J31" s="6" t="s">
        <v>47</v>
      </c>
      <c r="K31" s="21">
        <f t="shared" si="3"/>
        <v>0</v>
      </c>
    </row>
    <row r="32" spans="1:11" x14ac:dyDescent="0.25">
      <c r="A32" s="6" t="s">
        <v>53</v>
      </c>
      <c r="B32" s="16">
        <f>'Sum Production'!J38</f>
        <v>234122121.60577548</v>
      </c>
      <c r="C32" s="16">
        <f>'Sum Production'!J40</f>
        <v>63070647.455673814</v>
      </c>
      <c r="E32" s="21">
        <f>'Sum Processing'!K41</f>
        <v>520117700</v>
      </c>
      <c r="F32" s="21">
        <f>'Sum Processing'!K43</f>
        <v>2403092.5</v>
      </c>
      <c r="H32" s="21">
        <f>'Sum Trade'!K40</f>
        <v>155991520</v>
      </c>
      <c r="J32" s="6" t="s">
        <v>53</v>
      </c>
      <c r="K32" s="21">
        <f t="shared" si="3"/>
        <v>975705081.56144929</v>
      </c>
    </row>
    <row r="33" spans="1:11" x14ac:dyDescent="0.25">
      <c r="A33" s="22" t="s">
        <v>225</v>
      </c>
      <c r="B33" s="17">
        <f>SUM(B25:B32)</f>
        <v>1735616319.8400002</v>
      </c>
      <c r="C33" s="17">
        <f t="shared" ref="C33:H33" si="4">SUM(C25:C32)</f>
        <v>152247045.60000002</v>
      </c>
      <c r="D33" s="17"/>
      <c r="E33" s="17">
        <f t="shared" si="4"/>
        <v>671600000</v>
      </c>
      <c r="F33" s="17">
        <f t="shared" si="4"/>
        <v>4600000</v>
      </c>
      <c r="G33" s="17"/>
      <c r="H33" s="17">
        <f t="shared" si="4"/>
        <v>278208000</v>
      </c>
      <c r="I33" s="17"/>
      <c r="J33" s="7" t="s">
        <v>225</v>
      </c>
      <c r="K33" s="18">
        <f t="shared" si="3"/>
        <v>2842271365.4400001</v>
      </c>
    </row>
    <row r="34" spans="1:11" s="29" customFormat="1" x14ac:dyDescent="0.25"/>
  </sheetData>
  <mergeCells count="5">
    <mergeCell ref="H12:I12"/>
    <mergeCell ref="B12:C12"/>
    <mergeCell ref="B3:C3"/>
    <mergeCell ref="F3:G3"/>
    <mergeCell ref="J2:L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ColWidth="8.85546875" defaultRowHeight="15" x14ac:dyDescent="0.25"/>
  <cols>
    <col min="1" max="19" width="14.7109375" style="6" customWidth="1"/>
    <col min="20" max="16384" width="8.85546875" style="6"/>
  </cols>
  <sheetData>
    <row r="1" spans="1:12" ht="18.75" x14ac:dyDescent="0.3">
      <c r="A1" s="12" t="s">
        <v>218</v>
      </c>
    </row>
    <row r="2" spans="1:12" x14ac:dyDescent="0.25">
      <c r="A2" s="36"/>
      <c r="B2" s="36"/>
      <c r="C2" s="36"/>
      <c r="D2" s="36"/>
      <c r="E2" s="36"/>
      <c r="F2" s="36"/>
      <c r="G2" s="36"/>
      <c r="H2" s="36"/>
      <c r="I2" s="36"/>
      <c r="J2" s="137"/>
      <c r="K2" s="137"/>
      <c r="L2" s="137"/>
    </row>
    <row r="3" spans="1:12" x14ac:dyDescent="0.25">
      <c r="A3" s="7" t="s">
        <v>173</v>
      </c>
      <c r="B3" s="138" t="str">
        <f>Overview!C6</f>
        <v>Cassava</v>
      </c>
      <c r="C3" s="138"/>
      <c r="D3" s="36"/>
      <c r="E3" s="7" t="s">
        <v>143</v>
      </c>
      <c r="F3" s="138" t="str">
        <f>Overview!C5</f>
        <v>Brong Ahafo</v>
      </c>
      <c r="G3" s="138"/>
      <c r="H3" s="36"/>
      <c r="I3" s="7"/>
      <c r="J3" s="36"/>
      <c r="K3" s="36"/>
    </row>
    <row r="4" spans="1:1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x14ac:dyDescent="0.25">
      <c r="A5" s="7" t="s">
        <v>239</v>
      </c>
      <c r="B5" s="138" t="str">
        <f>'Overall Sums'!B12:C12</f>
        <v>Fresh roots production</v>
      </c>
      <c r="C5" s="138"/>
      <c r="D5" s="7"/>
      <c r="E5" s="135" t="str">
        <f>'Overall Sums'!E12</f>
        <v>Processing</v>
      </c>
      <c r="F5" s="39" t="str">
        <f>'Overall Sums'!F12</f>
        <v>Gari</v>
      </c>
      <c r="G5" s="7"/>
      <c r="H5" s="138" t="str">
        <f>'Trade WS'!B2</f>
        <v>Trading (fresh, WS)</v>
      </c>
      <c r="I5" s="138"/>
      <c r="J5" s="36"/>
      <c r="K5" s="36"/>
    </row>
    <row r="27" spans="1:7" x14ac:dyDescent="0.25">
      <c r="A27" s="7" t="s">
        <v>221</v>
      </c>
    </row>
    <row r="28" spans="1:7" x14ac:dyDescent="0.25">
      <c r="B28" s="22" t="s">
        <v>219</v>
      </c>
      <c r="C28" s="7" t="s">
        <v>220</v>
      </c>
      <c r="E28" s="7" t="s">
        <v>9</v>
      </c>
      <c r="F28" s="6" t="s">
        <v>2</v>
      </c>
      <c r="G28" s="6" t="s">
        <v>233</v>
      </c>
    </row>
    <row r="29" spans="1:7" x14ac:dyDescent="0.25">
      <c r="A29" s="6" t="s">
        <v>145</v>
      </c>
      <c r="B29" s="21">
        <f>'Overall Sums'!K15</f>
        <v>144492639.66733661</v>
      </c>
      <c r="C29" s="16">
        <f>'Overall Sums'!K25</f>
        <v>185659238.57499862</v>
      </c>
      <c r="E29" s="7" t="s">
        <v>231</v>
      </c>
      <c r="F29" s="6" t="s">
        <v>222</v>
      </c>
      <c r="G29" s="6" t="s">
        <v>232</v>
      </c>
    </row>
    <row r="30" spans="1:7" x14ac:dyDescent="0.25">
      <c r="A30" s="6" t="s">
        <v>169</v>
      </c>
      <c r="B30" s="21">
        <f>'Overall Sums'!K16</f>
        <v>29584671.226594999</v>
      </c>
      <c r="C30" s="16">
        <f>'Overall Sums'!K26</f>
        <v>34096501.237980001</v>
      </c>
      <c r="E30" s="7" t="s">
        <v>224</v>
      </c>
      <c r="F30" s="6" t="s">
        <v>223</v>
      </c>
      <c r="G30" s="6" t="s">
        <v>250</v>
      </c>
    </row>
    <row r="31" spans="1:7" x14ac:dyDescent="0.25">
      <c r="A31" s="6" t="s">
        <v>67</v>
      </c>
      <c r="B31" s="21">
        <f>'Overall Sums'!K17</f>
        <v>69779895.900000006</v>
      </c>
      <c r="C31" s="16">
        <f>'Overall Sums'!K27</f>
        <v>69779895.900000006</v>
      </c>
    </row>
    <row r="32" spans="1:7" x14ac:dyDescent="0.25">
      <c r="A32" s="6" t="s">
        <v>68</v>
      </c>
      <c r="B32" s="21">
        <f>'Overall Sums'!K18</f>
        <v>1171629922.1532159</v>
      </c>
      <c r="C32" s="16">
        <f>'Overall Sums'!K28</f>
        <v>1485528417.5558414</v>
      </c>
    </row>
    <row r="33" spans="1:3" x14ac:dyDescent="0.25">
      <c r="A33" s="6" t="s">
        <v>45</v>
      </c>
      <c r="B33" s="21">
        <f>'Overall Sums'!K19</f>
        <v>21980207.120393127</v>
      </c>
      <c r="C33" s="16">
        <f>'Overall Sums'!K29</f>
        <v>27029506.601839691</v>
      </c>
    </row>
    <row r="34" spans="1:3" x14ac:dyDescent="0.25">
      <c r="A34" s="6" t="s">
        <v>170</v>
      </c>
      <c r="B34" s="21">
        <f>'Overall Sums'!K20</f>
        <v>55469320.636920929</v>
      </c>
      <c r="C34" s="16">
        <f>'Overall Sums'!K30</f>
        <v>64472724.007890917</v>
      </c>
    </row>
    <row r="35" spans="1:3" x14ac:dyDescent="0.25">
      <c r="A35" s="6" t="s">
        <v>47</v>
      </c>
      <c r="B35" s="21">
        <f>'Overall Sums'!K21</f>
        <v>0</v>
      </c>
      <c r="C35" s="16">
        <f>'Overall Sums'!K31</f>
        <v>0</v>
      </c>
    </row>
    <row r="36" spans="1:3" x14ac:dyDescent="0.25">
      <c r="A36" s="6" t="s">
        <v>53</v>
      </c>
      <c r="B36" s="21">
        <f>'Overall Sums'!K22</f>
        <v>515622174.05553854</v>
      </c>
      <c r="C36" s="16">
        <f>'Overall Sums'!K32</f>
        <v>975705081.56144929</v>
      </c>
    </row>
    <row r="37" spans="1:3" x14ac:dyDescent="0.25">
      <c r="A37" s="34" t="s">
        <v>230</v>
      </c>
      <c r="B37" s="34">
        <f>SUM(B29:B36)</f>
        <v>2008558830.7600002</v>
      </c>
      <c r="C37" s="34">
        <f>SUM(C29:C36)</f>
        <v>2842271365.4400001</v>
      </c>
    </row>
  </sheetData>
  <mergeCells count="5">
    <mergeCell ref="B3:C3"/>
    <mergeCell ref="F3:G3"/>
    <mergeCell ref="B5:C5"/>
    <mergeCell ref="H5:I5"/>
    <mergeCell ref="J2:L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ColWidth="8.85546875" defaultRowHeight="15" x14ac:dyDescent="0.25"/>
  <cols>
    <col min="1" max="15" width="15.7109375" style="6" customWidth="1"/>
    <col min="16" max="16384" width="8.85546875" style="6"/>
  </cols>
  <sheetData>
    <row r="1" spans="1:12" ht="18.75" x14ac:dyDescent="0.3">
      <c r="A1" s="12" t="s">
        <v>251</v>
      </c>
      <c r="B1" s="12"/>
      <c r="C1" s="12"/>
    </row>
    <row r="2" spans="1:12" x14ac:dyDescent="0.25">
      <c r="J2" s="137"/>
      <c r="K2" s="137"/>
      <c r="L2" s="137"/>
    </row>
    <row r="3" spans="1:12" x14ac:dyDescent="0.25">
      <c r="A3" s="7" t="s">
        <v>173</v>
      </c>
      <c r="B3" s="138" t="str">
        <f>Overview!C6</f>
        <v>Cassava</v>
      </c>
      <c r="C3" s="138"/>
      <c r="D3" s="36"/>
      <c r="E3" s="7" t="s">
        <v>143</v>
      </c>
      <c r="F3" s="138" t="str">
        <f>Overview!C5</f>
        <v>Brong Ahafo</v>
      </c>
      <c r="G3" s="138"/>
      <c r="H3" s="36"/>
      <c r="I3" s="7"/>
    </row>
    <row r="5" spans="1:12" x14ac:dyDescent="0.25">
      <c r="A5" s="7" t="s">
        <v>147</v>
      </c>
      <c r="F5" s="7" t="s">
        <v>244</v>
      </c>
    </row>
    <row r="6" spans="1:12" x14ac:dyDescent="0.25">
      <c r="C6" s="7"/>
      <c r="G6" s="7"/>
      <c r="J6" s="7"/>
    </row>
    <row r="7" spans="1:12" x14ac:dyDescent="0.25">
      <c r="B7" s="6" t="s">
        <v>61</v>
      </c>
      <c r="C7" s="48" t="s">
        <v>145</v>
      </c>
      <c r="D7" s="48" t="s">
        <v>146</v>
      </c>
      <c r="E7" s="48" t="s">
        <v>67</v>
      </c>
      <c r="F7" s="48" t="s">
        <v>68</v>
      </c>
      <c r="G7" s="48" t="s">
        <v>45</v>
      </c>
      <c r="H7" s="48" t="s">
        <v>69</v>
      </c>
      <c r="I7" s="48" t="s">
        <v>47</v>
      </c>
      <c r="J7" s="48" t="s">
        <v>53</v>
      </c>
    </row>
    <row r="8" spans="1:12" x14ac:dyDescent="0.25">
      <c r="A8" s="6" t="s">
        <v>240</v>
      </c>
      <c r="B8" s="122">
        <f>Production!G14</f>
        <v>1920</v>
      </c>
      <c r="C8" s="122">
        <f>Production!H91</f>
        <v>163.76664999999997</v>
      </c>
      <c r="D8" s="122">
        <f>Production!I91</f>
        <v>24.34</v>
      </c>
      <c r="E8" s="122">
        <f>Production!J91</f>
        <v>110</v>
      </c>
      <c r="F8" s="122">
        <f>Production!K91</f>
        <v>1574.635</v>
      </c>
      <c r="G8" s="122">
        <f>Production!L91</f>
        <v>21.423750000000002</v>
      </c>
      <c r="H8" s="122">
        <f>Production!M91</f>
        <v>27.18045</v>
      </c>
      <c r="I8" s="122">
        <f>Production!N91</f>
        <v>0</v>
      </c>
      <c r="J8" s="122">
        <f>Production!O91</f>
        <v>-1.3458499999999844</v>
      </c>
    </row>
    <row r="9" spans="1:12" x14ac:dyDescent="0.25">
      <c r="A9" s="6" t="s">
        <v>242</v>
      </c>
      <c r="B9" s="122">
        <f>Production!H14</f>
        <v>2880</v>
      </c>
      <c r="C9" s="122">
        <f>Production!H121</f>
        <v>226.24997499999995</v>
      </c>
      <c r="D9" s="122">
        <f>Production!I121</f>
        <v>28.91</v>
      </c>
      <c r="E9" s="122">
        <f>Production!J121</f>
        <v>110</v>
      </c>
      <c r="F9" s="122">
        <f>Production!K121</f>
        <v>2057.0425</v>
      </c>
      <c r="G9" s="122">
        <f>Production!L121</f>
        <v>29.135625000000001</v>
      </c>
      <c r="H9" s="122">
        <f>Production!M121</f>
        <v>40.170675000000003</v>
      </c>
      <c r="I9" s="122">
        <f>Production!N121</f>
        <v>0</v>
      </c>
      <c r="J9" s="122">
        <f>Production!O121</f>
        <v>388.49122499999999</v>
      </c>
    </row>
    <row r="10" spans="1:12" x14ac:dyDescent="0.25">
      <c r="A10" s="6" t="s">
        <v>241</v>
      </c>
      <c r="B10" s="122">
        <f>Production!I14</f>
        <v>3600</v>
      </c>
      <c r="C10" s="122">
        <f>Production!H151</f>
        <v>374.47456666666665</v>
      </c>
      <c r="D10" s="122">
        <f>Production!I151</f>
        <v>62.050000000000004</v>
      </c>
      <c r="E10" s="122">
        <f>Production!J151</f>
        <v>110</v>
      </c>
      <c r="F10" s="122">
        <f>Production!K151</f>
        <v>1716.377125</v>
      </c>
      <c r="G10" s="122">
        <f>Production!L151</f>
        <v>21</v>
      </c>
      <c r="H10" s="122">
        <f>Production!M151</f>
        <v>83.915099999999981</v>
      </c>
      <c r="I10" s="122">
        <f>Production!N151</f>
        <v>0</v>
      </c>
      <c r="J10" s="122">
        <f>Production!O151</f>
        <v>1232.1832083333331</v>
      </c>
    </row>
    <row r="11" spans="1:12" x14ac:dyDescent="0.25">
      <c r="A11" s="6" t="s">
        <v>243</v>
      </c>
      <c r="B11" s="122">
        <f>Production!J14</f>
        <v>4800</v>
      </c>
      <c r="C11" s="122">
        <f>Production!H181</f>
        <v>429.89123333333339</v>
      </c>
      <c r="D11" s="122">
        <f>Production!I181</f>
        <v>74.883333333333326</v>
      </c>
      <c r="E11" s="122">
        <f>Production!J181</f>
        <v>110</v>
      </c>
      <c r="F11" s="122">
        <f>Production!K181</f>
        <v>2091.8375416666663</v>
      </c>
      <c r="G11" s="122">
        <f>Production!L181</f>
        <v>21</v>
      </c>
      <c r="H11" s="122">
        <f>Production!M181</f>
        <v>83.915099999999981</v>
      </c>
      <c r="I11" s="122">
        <f>Production!N181</f>
        <v>0</v>
      </c>
      <c r="J11" s="122">
        <f>Production!O181</f>
        <v>1988.4727916666666</v>
      </c>
    </row>
    <row r="34" spans="1:11" x14ac:dyDescent="0.25">
      <c r="A34" s="7" t="s">
        <v>173</v>
      </c>
      <c r="B34" s="138" t="str">
        <f>B3</f>
        <v>Cassava</v>
      </c>
      <c r="C34" s="138"/>
      <c r="D34" s="36"/>
      <c r="E34" s="7" t="s">
        <v>143</v>
      </c>
      <c r="F34" s="138" t="str">
        <f>F3</f>
        <v>Brong Ahafo</v>
      </c>
      <c r="G34" s="138"/>
      <c r="I34" s="7" t="s">
        <v>254</v>
      </c>
    </row>
    <row r="35" spans="1:11" x14ac:dyDescent="0.25">
      <c r="C35" s="7"/>
      <c r="G35" s="7"/>
    </row>
    <row r="36" spans="1:11" x14ac:dyDescent="0.25">
      <c r="B36" s="6" t="s">
        <v>61</v>
      </c>
      <c r="C36" s="48" t="s">
        <v>145</v>
      </c>
      <c r="D36" s="48" t="s">
        <v>146</v>
      </c>
      <c r="E36" s="48" t="s">
        <v>67</v>
      </c>
      <c r="F36" s="48" t="s">
        <v>68</v>
      </c>
      <c r="G36" s="48" t="s">
        <v>45</v>
      </c>
      <c r="H36" s="48" t="s">
        <v>69</v>
      </c>
      <c r="I36" s="48" t="s">
        <v>47</v>
      </c>
      <c r="J36" s="48" t="s">
        <v>53</v>
      </c>
    </row>
    <row r="37" spans="1:11" x14ac:dyDescent="0.25">
      <c r="A37" s="6" t="s">
        <v>240</v>
      </c>
      <c r="B37" s="16">
        <f>Overview!$C8*2.47*Overview!$C9*'Sum Production'!B8</f>
        <v>1157077546.5599999</v>
      </c>
      <c r="C37" s="16">
        <f>Overview!$C8*2.47*Overview!$C9*'Sum Production'!C8</f>
        <v>98693079.994974062</v>
      </c>
      <c r="D37" s="16">
        <f>Overview!$C8*2.47*Overview!$C9*'Sum Production'!D8</f>
        <v>14668368.480870001</v>
      </c>
      <c r="E37" s="16">
        <f>Overview!$C8*2.47*Overview!$C9*'Sum Production'!E8</f>
        <v>66290901.105000004</v>
      </c>
      <c r="F37" s="16">
        <f>Overview!$C8*2.47*Overview!$C9*'Sum Production'!F8</f>
        <v>948945209.64974248</v>
      </c>
      <c r="G37" s="16">
        <f>Overview!$C8*2.47*Overview!$C9*'Sum Production'!G8</f>
        <v>12910906.295893127</v>
      </c>
      <c r="H37" s="16">
        <f>Overview!$C8*2.47*Overview!$C9*'Sum Production'!H8</f>
        <v>16380150.208539976</v>
      </c>
      <c r="I37" s="16">
        <f>Overview!$C8*2.47*Overview!$C9*'Sum Production'!I8</f>
        <v>0</v>
      </c>
      <c r="J37" s="16">
        <f>Overview!$C8*2.47*Overview!$C9*'Sum Production'!J8</f>
        <v>-811069.17501966562</v>
      </c>
    </row>
    <row r="38" spans="1:11" x14ac:dyDescent="0.25">
      <c r="A38" s="6" t="s">
        <v>242</v>
      </c>
      <c r="B38" s="16">
        <f>Overview!$C8*2.47*Overview!$C9*'Sum Production'!B9</f>
        <v>1735616319.8400002</v>
      </c>
      <c r="C38" s="16">
        <f>Overview!$C8*2.47*Overview!$C9*'Sum Production'!C9</f>
        <v>136348315.61576107</v>
      </c>
      <c r="D38" s="16">
        <f>Overview!$C8*2.47*Overview!$C9*'Sum Production'!D9</f>
        <v>17422454.099505</v>
      </c>
      <c r="E38" s="16">
        <f>Overview!$C8*2.47*Overview!$C9*'Sum Production'!E9</f>
        <v>66290901.105000004</v>
      </c>
      <c r="F38" s="16">
        <f>Overview!$C8*2.47*Overview!$C9*'Sum Production'!F9</f>
        <v>1239665463.0571089</v>
      </c>
      <c r="G38" s="16">
        <f>Overview!$C8*2.47*Overview!$C9*'Sum Production'!G9</f>
        <v>17558425.777339689</v>
      </c>
      <c r="H38" s="16">
        <f>Overview!$C8*2.47*Overview!$C9*'Sum Production'!H9</f>
        <v>24208638.579509966</v>
      </c>
      <c r="I38" s="16">
        <f>Overview!$C8*2.47*Overview!$C9*'Sum Production'!I9</f>
        <v>0</v>
      </c>
      <c r="J38" s="16">
        <f>Overview!$C8*2.47*Overview!$C9*'Sum Production'!J9</f>
        <v>234122121.60577548</v>
      </c>
      <c r="K38" s="21"/>
    </row>
    <row r="39" spans="1:11" x14ac:dyDescent="0.25">
      <c r="A39" s="6" t="s">
        <v>241</v>
      </c>
      <c r="B39" s="16">
        <f>Overview!$C8*2.47*Overview!$C10*'Sum Production'!B10</f>
        <v>114185284.20000002</v>
      </c>
      <c r="C39" s="16">
        <f>Overview!$C8*2.47*Overview!$C10*'Sum Production'!C10</f>
        <v>11877634.672362551</v>
      </c>
      <c r="D39" s="16">
        <f>Overview!$C8*2.47*Overview!$C10*'Sum Production'!D10</f>
        <v>1968110.2457250003</v>
      </c>
      <c r="E39" s="16">
        <f>Overview!$C8*2.47*Overview!$C10*'Sum Production'!E10</f>
        <v>3488994.7950000004</v>
      </c>
      <c r="F39" s="16">
        <f>Overview!$C8*2.47*Overview!$C10*'Sum Production'!F10</f>
        <v>54440280.503473319</v>
      </c>
      <c r="G39" s="16">
        <f>Overview!$C8*2.47*Overview!$C10*'Sum Production'!G10</f>
        <v>666080.8245000001</v>
      </c>
      <c r="H39" s="16">
        <f>Overview!$C8*2.47*Overview!$C10*'Sum Production'!H10</f>
        <v>2661630.4283809499</v>
      </c>
      <c r="I39" s="16">
        <f>Overview!$C8*2.47*Overview!$C10*'Sum Production'!I10</f>
        <v>0</v>
      </c>
      <c r="J39" s="16">
        <f>Overview!$C8*2.47*Overview!$C10*'Sum Production'!J10</f>
        <v>39082552.730558187</v>
      </c>
    </row>
    <row r="40" spans="1:11" x14ac:dyDescent="0.25">
      <c r="A40" s="6" t="s">
        <v>243</v>
      </c>
      <c r="B40" s="16">
        <f>Overview!$C8*Overview!$C10*2.47*'Sum Production'!B11</f>
        <v>152247045.60000002</v>
      </c>
      <c r="C40" s="16">
        <f>Overview!$C8*Overview!$C10*2.47*'Sum Production'!C11</f>
        <v>13635347.959237553</v>
      </c>
      <c r="D40" s="16">
        <f>Overview!$C8*Overview!$C10*2.47*'Sum Production'!D11</f>
        <v>2375159.6384749999</v>
      </c>
      <c r="E40" s="16">
        <f>Overview!$C8*Overview!$C10*2.47*'Sum Production'!E11</f>
        <v>3488994.7950000004</v>
      </c>
      <c r="F40" s="16">
        <f>Overview!$C8*Overview!$C10*2.47*'Sum Production'!F11</f>
        <v>66349184.498732686</v>
      </c>
      <c r="G40" s="16">
        <f>Overview!$C8*Overview!$C10*2.47*'Sum Production'!G11</f>
        <v>666080.8245000001</v>
      </c>
      <c r="H40" s="16">
        <f>Overview!$C8*Overview!$C10*2.47*'Sum Production'!H11</f>
        <v>2661630.4283809499</v>
      </c>
      <c r="I40" s="16">
        <f>Overview!$C8*Overview!$C10*2.47*'Sum Production'!I11</f>
        <v>0</v>
      </c>
      <c r="J40" s="16">
        <f>Overview!$C8*Overview!$C10*2.47*'Sum Production'!J11</f>
        <v>63070647.455673814</v>
      </c>
    </row>
    <row r="43" spans="1:11" x14ac:dyDescent="0.25">
      <c r="B43" s="21"/>
    </row>
    <row r="45" spans="1:11" x14ac:dyDescent="0.25">
      <c r="B45" s="52"/>
    </row>
    <row r="46" spans="1:11" x14ac:dyDescent="0.25">
      <c r="B46" s="52"/>
    </row>
    <row r="47" spans="1:11" x14ac:dyDescent="0.25">
      <c r="B47" s="52"/>
    </row>
  </sheetData>
  <mergeCells count="5">
    <mergeCell ref="B3:C3"/>
    <mergeCell ref="F3:G3"/>
    <mergeCell ref="B34:C34"/>
    <mergeCell ref="F34:G34"/>
    <mergeCell ref="J2:L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workbookViewId="0"/>
  </sheetViews>
  <sheetFormatPr defaultColWidth="8.85546875" defaultRowHeight="15" x14ac:dyDescent="0.25"/>
  <cols>
    <col min="1" max="11" width="15.7109375" style="49" customWidth="1"/>
    <col min="12" max="12" width="18.7109375" style="6" customWidth="1"/>
    <col min="13" max="13" width="8.85546875" style="6"/>
    <col min="14" max="15" width="12.7109375" style="6" bestFit="1" customWidth="1"/>
    <col min="16" max="16384" width="8.85546875" style="6"/>
  </cols>
  <sheetData>
    <row r="1" spans="1:13" ht="18.75" x14ac:dyDescent="0.3">
      <c r="A1" s="12" t="s">
        <v>256</v>
      </c>
      <c r="B1" s="12"/>
      <c r="C1" s="12"/>
      <c r="D1" s="6"/>
      <c r="E1" s="6"/>
      <c r="F1" s="6"/>
      <c r="G1" s="6"/>
      <c r="H1" s="6"/>
      <c r="K1" s="6"/>
    </row>
    <row r="2" spans="1:13" x14ac:dyDescent="0.25">
      <c r="A2" s="6"/>
      <c r="B2" s="6"/>
      <c r="C2" s="6"/>
      <c r="D2" s="6"/>
      <c r="E2" s="6"/>
      <c r="F2" s="6"/>
      <c r="G2" s="6"/>
      <c r="H2" s="6"/>
      <c r="K2" s="137"/>
      <c r="L2" s="137"/>
      <c r="M2" s="137"/>
    </row>
    <row r="3" spans="1:13" x14ac:dyDescent="0.25">
      <c r="A3" s="7" t="s">
        <v>173</v>
      </c>
      <c r="B3" s="138" t="str">
        <f>Overview!C6</f>
        <v>Cassava</v>
      </c>
      <c r="C3" s="138"/>
      <c r="D3" s="36"/>
      <c r="E3" s="50" t="s">
        <v>253</v>
      </c>
      <c r="F3" s="38" t="str">
        <f>Overview!J6</f>
        <v>Gari</v>
      </c>
      <c r="H3" s="7" t="s">
        <v>143</v>
      </c>
      <c r="I3" s="138" t="str">
        <f>Overview!C5</f>
        <v>Brong Ahafo</v>
      </c>
      <c r="J3" s="138"/>
    </row>
    <row r="5" spans="1:13" x14ac:dyDescent="0.25">
      <c r="A5" s="50" t="s">
        <v>257</v>
      </c>
      <c r="F5" s="7" t="s">
        <v>244</v>
      </c>
      <c r="H5" s="50"/>
    </row>
    <row r="7" spans="1:13" x14ac:dyDescent="0.25">
      <c r="A7" s="51"/>
      <c r="B7" s="51" t="s">
        <v>249</v>
      </c>
      <c r="C7" s="51" t="s">
        <v>183</v>
      </c>
      <c r="D7" s="51" t="s">
        <v>145</v>
      </c>
      <c r="E7" s="51" t="s">
        <v>146</v>
      </c>
      <c r="F7" s="51" t="s">
        <v>67</v>
      </c>
      <c r="G7" s="51" t="s">
        <v>68</v>
      </c>
      <c r="H7" s="51" t="s">
        <v>45</v>
      </c>
      <c r="I7" s="51" t="s">
        <v>189</v>
      </c>
      <c r="J7" s="51" t="s">
        <v>47</v>
      </c>
      <c r="K7" s="51" t="s">
        <v>53</v>
      </c>
    </row>
    <row r="8" spans="1:13" x14ac:dyDescent="0.25">
      <c r="A8" s="49" t="s">
        <v>245</v>
      </c>
      <c r="B8" s="123">
        <f>'Proc Gari'!G13*'Proc Gari'!N2</f>
        <v>280000</v>
      </c>
      <c r="C8" s="123">
        <f>'Proc Gari'!G16*'Proc Gari'!N2</f>
        <v>114300</v>
      </c>
      <c r="D8" s="123">
        <f>'Proc Gari'!H87</f>
        <v>3212.5</v>
      </c>
      <c r="E8" s="123">
        <f>'Proc Gari'!I87</f>
        <v>1662.5</v>
      </c>
      <c r="F8" s="123">
        <f>'Proc Gari'!J87</f>
        <v>0</v>
      </c>
      <c r="G8" s="123">
        <f>'Proc Gari'!K87</f>
        <v>39615</v>
      </c>
      <c r="H8" s="123">
        <f>'Proc Gari'!L87</f>
        <v>550</v>
      </c>
      <c r="I8" s="123">
        <f>'Proc Gari'!M87</f>
        <v>1762.5</v>
      </c>
      <c r="J8" s="123">
        <f>'Proc Gari'!N87</f>
        <v>0</v>
      </c>
      <c r="K8" s="123">
        <f>'Proc Gari'!O87</f>
        <v>118897.5</v>
      </c>
      <c r="L8" s="52"/>
    </row>
    <row r="9" spans="1:13" x14ac:dyDescent="0.25">
      <c r="A9" s="49" t="s">
        <v>246</v>
      </c>
      <c r="B9" s="123">
        <f>'Proc Gari'!H13*'Proc Gari'!N2</f>
        <v>350000</v>
      </c>
      <c r="C9" s="123">
        <f>'Proc Gari'!H16*'Proc Gari'!N2</f>
        <v>120000</v>
      </c>
      <c r="D9" s="123">
        <f>'Proc Gari'!H117</f>
        <v>3775</v>
      </c>
      <c r="E9" s="123">
        <f>'Proc Gari'!I117</f>
        <v>2100</v>
      </c>
      <c r="F9" s="123">
        <f>'Proc Gari'!J117</f>
        <v>0</v>
      </c>
      <c r="G9" s="123">
        <f>'Proc Gari'!K117</f>
        <v>43252.5</v>
      </c>
      <c r="H9" s="123">
        <f>'Proc Gari'!L117</f>
        <v>675</v>
      </c>
      <c r="I9" s="123">
        <f>'Proc Gari'!M117</f>
        <v>2075</v>
      </c>
      <c r="J9" s="123">
        <f>'Proc Gari'!N117</f>
        <v>0</v>
      </c>
      <c r="K9" s="123">
        <f>'Proc Gari'!O117</f>
        <v>178122.5</v>
      </c>
      <c r="L9" s="52"/>
    </row>
    <row r="10" spans="1:13" x14ac:dyDescent="0.25">
      <c r="A10" s="49" t="s">
        <v>247</v>
      </c>
      <c r="B10" s="123">
        <f>'Proc Gari'!I13*'Proc Gari'!N2</f>
        <v>490000</v>
      </c>
      <c r="C10" s="123">
        <f>'Proc Gari'!I16*'Proc Gari'!N2</f>
        <v>200000</v>
      </c>
      <c r="D10" s="123">
        <f>'Proc Gari'!H147</f>
        <v>19237.5</v>
      </c>
      <c r="E10" s="123">
        <f>'Proc Gari'!I147</f>
        <v>14948.75</v>
      </c>
      <c r="F10" s="123">
        <f>'Proc Gari'!J147</f>
        <v>0</v>
      </c>
      <c r="G10" s="123">
        <f>'Proc Gari'!K147</f>
        <v>94272</v>
      </c>
      <c r="H10" s="123">
        <f>'Proc Gari'!L147</f>
        <v>5870</v>
      </c>
      <c r="I10" s="123">
        <f>'Proc Gari'!M147</f>
        <v>43260</v>
      </c>
      <c r="J10" s="123">
        <f>'Proc Gari'!N147</f>
        <v>0</v>
      </c>
      <c r="K10" s="123">
        <f>'Proc Gari'!O147</f>
        <v>112411.75</v>
      </c>
      <c r="L10" s="52"/>
    </row>
    <row r="11" spans="1:13" x14ac:dyDescent="0.25">
      <c r="A11" s="49" t="s">
        <v>248</v>
      </c>
      <c r="B11" s="123">
        <f>'Proc Gari'!J13*'Proc Gari'!N2</f>
        <v>700000</v>
      </c>
      <c r="C11" s="123">
        <f>'Proc Gari'!J16*'Proc Gari'!N2</f>
        <v>240000</v>
      </c>
      <c r="D11" s="123">
        <f>'Proc Gari'!H177</f>
        <v>22657.5</v>
      </c>
      <c r="E11" s="123">
        <f>'Proc Gari'!I177</f>
        <v>16288.75</v>
      </c>
      <c r="F11" s="123">
        <f>'Proc Gari'!J177</f>
        <v>0</v>
      </c>
      <c r="G11" s="123">
        <f>'Proc Gari'!K177</f>
        <v>121347</v>
      </c>
      <c r="H11" s="123">
        <f>'Proc Gari'!L177</f>
        <v>7200</v>
      </c>
      <c r="I11" s="123">
        <f>'Proc Gari'!M177</f>
        <v>52197.5</v>
      </c>
      <c r="J11" s="123">
        <f>'Proc Gari'!N177</f>
        <v>0</v>
      </c>
      <c r="K11" s="123">
        <f>'Proc Gari'!O177</f>
        <v>240309.25</v>
      </c>
      <c r="L11" s="53"/>
    </row>
    <row r="12" spans="1:13" x14ac:dyDescent="0.25">
      <c r="L12" s="53"/>
    </row>
    <row r="13" spans="1:13" x14ac:dyDescent="0.25">
      <c r="L13" s="53"/>
    </row>
    <row r="14" spans="1:13" x14ac:dyDescent="0.25">
      <c r="L14" s="53"/>
    </row>
    <row r="15" spans="1:13" x14ac:dyDescent="0.25">
      <c r="L15" s="53"/>
    </row>
    <row r="16" spans="1:13" x14ac:dyDescent="0.25">
      <c r="L16" s="53"/>
    </row>
    <row r="17" spans="12:12" x14ac:dyDescent="0.25">
      <c r="L17" s="53"/>
    </row>
    <row r="18" spans="12:12" x14ac:dyDescent="0.25">
      <c r="L18" s="53"/>
    </row>
    <row r="19" spans="12:12" x14ac:dyDescent="0.25">
      <c r="L19" s="53"/>
    </row>
    <row r="20" spans="12:12" x14ac:dyDescent="0.25">
      <c r="L20" s="53"/>
    </row>
    <row r="21" spans="12:12" x14ac:dyDescent="0.25">
      <c r="L21" s="53"/>
    </row>
    <row r="22" spans="12:12" x14ac:dyDescent="0.25">
      <c r="L22" s="53"/>
    </row>
    <row r="23" spans="12:12" x14ac:dyDescent="0.25">
      <c r="L23" s="53"/>
    </row>
    <row r="24" spans="12:12" x14ac:dyDescent="0.25">
      <c r="L24" s="53"/>
    </row>
    <row r="25" spans="12:12" x14ac:dyDescent="0.25">
      <c r="L25" s="53"/>
    </row>
    <row r="26" spans="12:12" x14ac:dyDescent="0.25">
      <c r="L26" s="53"/>
    </row>
    <row r="27" spans="12:12" x14ac:dyDescent="0.25">
      <c r="L27" s="53"/>
    </row>
    <row r="28" spans="12:12" x14ac:dyDescent="0.25">
      <c r="L28" s="53"/>
    </row>
    <row r="29" spans="12:12" x14ac:dyDescent="0.25">
      <c r="L29" s="53"/>
    </row>
    <row r="30" spans="12:12" x14ac:dyDescent="0.25">
      <c r="L30" s="53"/>
    </row>
    <row r="31" spans="12:12" x14ac:dyDescent="0.25">
      <c r="L31" s="53"/>
    </row>
    <row r="32" spans="12:12" x14ac:dyDescent="0.25">
      <c r="L32" s="53"/>
    </row>
    <row r="33" spans="1:15" x14ac:dyDescent="0.25">
      <c r="A33" s="50" t="s">
        <v>255</v>
      </c>
      <c r="L33" s="53"/>
    </row>
    <row r="34" spans="1:15" x14ac:dyDescent="0.25">
      <c r="L34" s="53"/>
    </row>
    <row r="35" spans="1:15" x14ac:dyDescent="0.25">
      <c r="A35" s="7" t="s">
        <v>173</v>
      </c>
      <c r="B35" s="138" t="str">
        <f>B3</f>
        <v>Cassava</v>
      </c>
      <c r="C35" s="138"/>
      <c r="D35" s="36"/>
      <c r="E35" s="50" t="s">
        <v>253</v>
      </c>
      <c r="F35" s="38" t="str">
        <f>F3</f>
        <v>Gari</v>
      </c>
      <c r="H35" s="7" t="s">
        <v>143</v>
      </c>
      <c r="I35" s="138" t="str">
        <f>I3</f>
        <v>Brong Ahafo</v>
      </c>
      <c r="J35" s="138"/>
      <c r="L35" s="53"/>
    </row>
    <row r="36" spans="1:15" x14ac:dyDescent="0.25">
      <c r="D36" s="6"/>
      <c r="E36" s="6"/>
      <c r="F36" s="6"/>
      <c r="G36" s="6"/>
      <c r="H36" s="6"/>
      <c r="L36" s="53"/>
    </row>
    <row r="37" spans="1:15" x14ac:dyDescent="0.25">
      <c r="A37" s="17" t="s">
        <v>188</v>
      </c>
      <c r="B37" s="16"/>
      <c r="C37" s="16"/>
      <c r="D37" s="17"/>
      <c r="E37" s="16"/>
      <c r="F37" s="20">
        <v>2920</v>
      </c>
      <c r="G37" s="17" t="s">
        <v>265</v>
      </c>
      <c r="H37" s="16"/>
      <c r="I37" s="20">
        <v>6</v>
      </c>
      <c r="J37" s="17" t="s">
        <v>267</v>
      </c>
      <c r="K37" s="16"/>
      <c r="L37" s="53"/>
    </row>
    <row r="38" spans="1:15" x14ac:dyDescent="0.25">
      <c r="A38" s="17"/>
      <c r="B38" s="16"/>
      <c r="C38" s="16"/>
      <c r="D38" s="17"/>
      <c r="E38" s="16"/>
      <c r="F38" s="20">
        <v>2920</v>
      </c>
      <c r="G38" s="17" t="s">
        <v>266</v>
      </c>
      <c r="H38" s="16"/>
      <c r="I38" s="20">
        <v>10</v>
      </c>
      <c r="J38" s="17" t="s">
        <v>268</v>
      </c>
      <c r="K38" s="16"/>
      <c r="L38" s="53"/>
    </row>
    <row r="39" spans="1:15" x14ac:dyDescent="0.25">
      <c r="A39" s="54"/>
      <c r="B39" s="54" t="s">
        <v>249</v>
      </c>
      <c r="C39" s="54" t="s">
        <v>183</v>
      </c>
      <c r="D39" s="54" t="s">
        <v>145</v>
      </c>
      <c r="E39" s="54" t="s">
        <v>146</v>
      </c>
      <c r="F39" s="54" t="s">
        <v>67</v>
      </c>
      <c r="G39" s="54" t="s">
        <v>68</v>
      </c>
      <c r="H39" s="54" t="s">
        <v>45</v>
      </c>
      <c r="I39" s="54" t="s">
        <v>189</v>
      </c>
      <c r="J39" s="54" t="s">
        <v>47</v>
      </c>
      <c r="K39" s="54" t="s">
        <v>53</v>
      </c>
      <c r="L39" s="55"/>
    </row>
    <row r="40" spans="1:15" x14ac:dyDescent="0.25">
      <c r="A40" s="49" t="s">
        <v>245</v>
      </c>
      <c r="B40" s="16">
        <f>B8*$F$37</f>
        <v>817600000</v>
      </c>
      <c r="C40" s="16">
        <f t="shared" ref="C40:K40" si="0">C8*$F$37</f>
        <v>333756000</v>
      </c>
      <c r="D40" s="16">
        <f t="shared" si="0"/>
        <v>9380500</v>
      </c>
      <c r="E40" s="16">
        <f t="shared" si="0"/>
        <v>4854500</v>
      </c>
      <c r="F40" s="16">
        <f t="shared" si="0"/>
        <v>0</v>
      </c>
      <c r="G40" s="16">
        <f t="shared" si="0"/>
        <v>115675800</v>
      </c>
      <c r="H40" s="16">
        <f t="shared" si="0"/>
        <v>1606000</v>
      </c>
      <c r="I40" s="16">
        <f t="shared" si="0"/>
        <v>5146500</v>
      </c>
      <c r="J40" s="16">
        <f t="shared" si="0"/>
        <v>0</v>
      </c>
      <c r="K40" s="16">
        <f t="shared" si="0"/>
        <v>347180700</v>
      </c>
      <c r="L40" s="21"/>
      <c r="N40" s="21"/>
      <c r="O40" s="52"/>
    </row>
    <row r="41" spans="1:15" x14ac:dyDescent="0.25">
      <c r="A41" s="49" t="s">
        <v>246</v>
      </c>
      <c r="B41" s="16">
        <f>B9*$F$38</f>
        <v>1022000000</v>
      </c>
      <c r="C41" s="16">
        <f t="shared" ref="C41:K41" si="1">C9*$F$38</f>
        <v>350400000</v>
      </c>
      <c r="D41" s="16">
        <f t="shared" si="1"/>
        <v>11023000</v>
      </c>
      <c r="E41" s="16">
        <f t="shared" si="1"/>
        <v>6132000</v>
      </c>
      <c r="F41" s="16">
        <f t="shared" si="1"/>
        <v>0</v>
      </c>
      <c r="G41" s="16">
        <f t="shared" si="1"/>
        <v>126297300</v>
      </c>
      <c r="H41" s="16">
        <f t="shared" si="1"/>
        <v>1971000</v>
      </c>
      <c r="I41" s="16">
        <f t="shared" si="1"/>
        <v>6059000</v>
      </c>
      <c r="J41" s="16">
        <f t="shared" si="1"/>
        <v>0</v>
      </c>
      <c r="K41" s="16">
        <f t="shared" si="1"/>
        <v>520117700</v>
      </c>
      <c r="L41" s="21"/>
      <c r="N41" s="21"/>
      <c r="O41" s="52"/>
    </row>
    <row r="42" spans="1:15" x14ac:dyDescent="0.25">
      <c r="A42" s="49" t="s">
        <v>247</v>
      </c>
      <c r="B42" s="16">
        <f>B10*$I$37</f>
        <v>2940000</v>
      </c>
      <c r="C42" s="16">
        <f t="shared" ref="C42:K42" si="2">C10*$I$37</f>
        <v>1200000</v>
      </c>
      <c r="D42" s="16">
        <f t="shared" si="2"/>
        <v>115425</v>
      </c>
      <c r="E42" s="16">
        <f t="shared" si="2"/>
        <v>89692.5</v>
      </c>
      <c r="F42" s="16">
        <f t="shared" si="2"/>
        <v>0</v>
      </c>
      <c r="G42" s="16">
        <f t="shared" si="2"/>
        <v>565632</v>
      </c>
      <c r="H42" s="16">
        <f t="shared" si="2"/>
        <v>35220</v>
      </c>
      <c r="I42" s="16">
        <f t="shared" si="2"/>
        <v>259560</v>
      </c>
      <c r="J42" s="16">
        <f t="shared" si="2"/>
        <v>0</v>
      </c>
      <c r="K42" s="16">
        <f t="shared" si="2"/>
        <v>674470.5</v>
      </c>
      <c r="L42" s="21"/>
      <c r="N42" s="21"/>
      <c r="O42" s="52"/>
    </row>
    <row r="43" spans="1:15" x14ac:dyDescent="0.25">
      <c r="A43" s="49" t="s">
        <v>248</v>
      </c>
      <c r="B43" s="16">
        <f>B11*$I$38</f>
        <v>7000000</v>
      </c>
      <c r="C43" s="16">
        <f t="shared" ref="C43:K43" si="3">C11*$I$38</f>
        <v>2400000</v>
      </c>
      <c r="D43" s="16">
        <f t="shared" si="3"/>
        <v>226575</v>
      </c>
      <c r="E43" s="16">
        <f t="shared" si="3"/>
        <v>162887.5</v>
      </c>
      <c r="F43" s="16">
        <f t="shared" si="3"/>
        <v>0</v>
      </c>
      <c r="G43" s="16">
        <f t="shared" si="3"/>
        <v>1213470</v>
      </c>
      <c r="H43" s="16">
        <f t="shared" si="3"/>
        <v>72000</v>
      </c>
      <c r="I43" s="16">
        <f t="shared" si="3"/>
        <v>521975</v>
      </c>
      <c r="J43" s="16">
        <f t="shared" si="3"/>
        <v>0</v>
      </c>
      <c r="K43" s="16">
        <f t="shared" si="3"/>
        <v>2403092.5</v>
      </c>
      <c r="L43" s="21"/>
      <c r="N43" s="21"/>
      <c r="O43" s="52"/>
    </row>
  </sheetData>
  <mergeCells count="5">
    <mergeCell ref="B3:C3"/>
    <mergeCell ref="I3:J3"/>
    <mergeCell ref="B35:C35"/>
    <mergeCell ref="I35:J35"/>
    <mergeCell ref="K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/>
  </sheetViews>
  <sheetFormatPr defaultColWidth="8.85546875" defaultRowHeight="15" x14ac:dyDescent="0.25"/>
  <cols>
    <col min="1" max="11" width="15.7109375" style="49" customWidth="1"/>
    <col min="12" max="12" width="15.7109375" style="6" customWidth="1"/>
    <col min="13" max="13" width="8.85546875" style="6"/>
    <col min="14" max="15" width="12.7109375" style="6" bestFit="1" customWidth="1"/>
    <col min="16" max="16384" width="8.85546875" style="6"/>
  </cols>
  <sheetData>
    <row r="1" spans="1:12" ht="18.75" x14ac:dyDescent="0.3">
      <c r="A1" s="12" t="s">
        <v>260</v>
      </c>
      <c r="B1" s="12"/>
      <c r="C1" s="12"/>
      <c r="D1" s="6"/>
      <c r="E1" s="6"/>
      <c r="F1" s="6"/>
      <c r="G1" s="6"/>
      <c r="H1" s="6"/>
      <c r="J1" s="6"/>
      <c r="K1" s="6"/>
    </row>
    <row r="2" spans="1:12" x14ac:dyDescent="0.25">
      <c r="A2" s="6"/>
      <c r="B2" s="6"/>
      <c r="C2" s="6"/>
      <c r="D2" s="6"/>
      <c r="E2" s="6"/>
      <c r="F2" s="6"/>
      <c r="G2" s="6"/>
      <c r="H2" s="6"/>
      <c r="J2" s="137"/>
      <c r="K2" s="137"/>
      <c r="L2" s="137"/>
    </row>
    <row r="3" spans="1:12" x14ac:dyDescent="0.25">
      <c r="A3" s="7" t="s">
        <v>173</v>
      </c>
      <c r="B3" s="138" t="str">
        <f>Overview!C6</f>
        <v>Cassava</v>
      </c>
      <c r="C3" s="138"/>
      <c r="D3" s="36"/>
      <c r="E3" s="7" t="s">
        <v>143</v>
      </c>
      <c r="F3" s="138" t="str">
        <f>Overview!C5</f>
        <v>Brong Ahafo</v>
      </c>
      <c r="G3" s="138"/>
      <c r="H3" s="36"/>
    </row>
    <row r="5" spans="1:12" x14ac:dyDescent="0.25">
      <c r="A5" s="50" t="s">
        <v>258</v>
      </c>
      <c r="F5" s="7" t="s">
        <v>244</v>
      </c>
    </row>
    <row r="7" spans="1:12" x14ac:dyDescent="0.25">
      <c r="A7" s="51"/>
      <c r="B7" s="51" t="s">
        <v>217</v>
      </c>
      <c r="C7" s="51" t="s">
        <v>183</v>
      </c>
      <c r="D7" s="51" t="s">
        <v>145</v>
      </c>
      <c r="E7" s="51" t="s">
        <v>146</v>
      </c>
      <c r="F7" s="51" t="s">
        <v>67</v>
      </c>
      <c r="G7" s="51" t="s">
        <v>68</v>
      </c>
      <c r="H7" s="51" t="s">
        <v>45</v>
      </c>
      <c r="I7" s="51" t="s">
        <v>189</v>
      </c>
      <c r="J7" s="51" t="s">
        <v>47</v>
      </c>
      <c r="K7" s="51" t="s">
        <v>53</v>
      </c>
    </row>
    <row r="8" spans="1:12" x14ac:dyDescent="0.25">
      <c r="A8" s="49" t="s">
        <v>215</v>
      </c>
      <c r="B8" s="123">
        <f>'Trade WS'!G11*'Trade WS'!M2</f>
        <v>144000</v>
      </c>
      <c r="C8" s="123">
        <f>'Trade WS'!G14*'Trade WS'!M2</f>
        <v>75600</v>
      </c>
      <c r="D8" s="123">
        <f>'Trade WS'!H62</f>
        <v>6637.5</v>
      </c>
      <c r="E8" s="123">
        <f>'Trade WS'!I62</f>
        <v>2175</v>
      </c>
      <c r="F8" s="123">
        <f>'Trade WS'!J62</f>
        <v>0</v>
      </c>
      <c r="G8" s="123">
        <f>'Trade WS'!K62</f>
        <v>14131.25</v>
      </c>
      <c r="H8" s="123">
        <f>'Trade WS'!L62</f>
        <v>1837.5</v>
      </c>
      <c r="I8" s="123">
        <f>'Trade WS'!M62</f>
        <v>8429.75</v>
      </c>
      <c r="J8" s="123">
        <f>'Trade WS'!N62</f>
        <v>0</v>
      </c>
      <c r="K8" s="123">
        <f>'Trade WS'!O62</f>
        <v>35189</v>
      </c>
      <c r="L8" s="52"/>
    </row>
    <row r="9" spans="1:12" x14ac:dyDescent="0.25">
      <c r="A9" s="49" t="s">
        <v>216</v>
      </c>
      <c r="B9" s="123">
        <f>'Trade WS'!H11*'Trade WS'!M2</f>
        <v>151200</v>
      </c>
      <c r="C9" s="123">
        <f>'Trade WS'!H14*'Trade WS'!M2</f>
        <v>75600</v>
      </c>
      <c r="D9" s="123">
        <f>'Trade WS'!H83</f>
        <v>6637.5</v>
      </c>
      <c r="E9" s="123">
        <f>'Trade WS'!I83</f>
        <v>2175</v>
      </c>
      <c r="F9" s="123">
        <f>'Trade WS'!J83</f>
        <v>0</v>
      </c>
      <c r="G9" s="123">
        <f>'Trade WS'!K83</f>
        <v>14131.25</v>
      </c>
      <c r="H9" s="123">
        <f>'Trade WS'!L83</f>
        <v>1837.5</v>
      </c>
      <c r="I9" s="123">
        <f>'Trade WS'!M83</f>
        <v>8429.75</v>
      </c>
      <c r="J9" s="123">
        <f>'Trade WS'!N83</f>
        <v>0</v>
      </c>
      <c r="K9" s="123">
        <f>'Trade WS'!O83</f>
        <v>42389</v>
      </c>
      <c r="L9" s="52"/>
    </row>
    <row r="10" spans="1:12" x14ac:dyDescent="0.25">
      <c r="L10" s="53"/>
    </row>
    <row r="11" spans="1:12" x14ac:dyDescent="0.25">
      <c r="L11" s="53"/>
    </row>
    <row r="12" spans="1:12" x14ac:dyDescent="0.25">
      <c r="L12" s="49"/>
    </row>
    <row r="13" spans="1:12" x14ac:dyDescent="0.25">
      <c r="L13" s="49"/>
    </row>
    <row r="14" spans="1:12" x14ac:dyDescent="0.25">
      <c r="L14" s="53"/>
    </row>
    <row r="15" spans="1:12" x14ac:dyDescent="0.25">
      <c r="L15" s="53"/>
    </row>
    <row r="16" spans="1:12" x14ac:dyDescent="0.25">
      <c r="L16" s="53"/>
    </row>
    <row r="17" spans="1:12" x14ac:dyDescent="0.25">
      <c r="L17" s="53"/>
    </row>
    <row r="18" spans="1:12" x14ac:dyDescent="0.25">
      <c r="L18" s="53"/>
    </row>
    <row r="19" spans="1:12" x14ac:dyDescent="0.25">
      <c r="L19" s="53"/>
    </row>
    <row r="20" spans="1:12" x14ac:dyDescent="0.25">
      <c r="L20" s="53"/>
    </row>
    <row r="21" spans="1:12" x14ac:dyDescent="0.25">
      <c r="L21" s="53"/>
    </row>
    <row r="22" spans="1:12" x14ac:dyDescent="0.25">
      <c r="L22" s="53"/>
    </row>
    <row r="23" spans="1:12" x14ac:dyDescent="0.25">
      <c r="L23" s="53"/>
    </row>
    <row r="24" spans="1:12" x14ac:dyDescent="0.25">
      <c r="L24" s="53"/>
    </row>
    <row r="25" spans="1:12" x14ac:dyDescent="0.25">
      <c r="L25" s="53"/>
    </row>
    <row r="26" spans="1:12" x14ac:dyDescent="0.25">
      <c r="L26" s="53"/>
    </row>
    <row r="27" spans="1:12" x14ac:dyDescent="0.25">
      <c r="L27" s="53"/>
    </row>
    <row r="28" spans="1:12" x14ac:dyDescent="0.25">
      <c r="L28" s="53"/>
    </row>
    <row r="29" spans="1:12" x14ac:dyDescent="0.25">
      <c r="L29" s="53"/>
    </row>
    <row r="30" spans="1:12" x14ac:dyDescent="0.25">
      <c r="L30" s="53"/>
    </row>
    <row r="31" spans="1:12" x14ac:dyDescent="0.25">
      <c r="L31" s="53"/>
    </row>
    <row r="32" spans="1:12" x14ac:dyDescent="0.25">
      <c r="A32" s="50" t="s">
        <v>259</v>
      </c>
      <c r="L32" s="53"/>
    </row>
    <row r="33" spans="1:15" x14ac:dyDescent="0.25">
      <c r="L33" s="53"/>
    </row>
    <row r="34" spans="1:15" x14ac:dyDescent="0.25">
      <c r="A34" s="7" t="s">
        <v>173</v>
      </c>
      <c r="B34" s="138" t="str">
        <f>B3</f>
        <v>Cassava</v>
      </c>
      <c r="C34" s="138"/>
      <c r="D34" s="36"/>
      <c r="E34" s="7" t="s">
        <v>143</v>
      </c>
      <c r="F34" s="138" t="str">
        <f>F3</f>
        <v>Brong Ahafo</v>
      </c>
      <c r="G34" s="138"/>
      <c r="H34" s="6"/>
      <c r="I34" s="7" t="s">
        <v>254</v>
      </c>
      <c r="J34" s="6"/>
      <c r="K34" s="6"/>
      <c r="L34" s="53"/>
    </row>
    <row r="35" spans="1:15" x14ac:dyDescent="0.25">
      <c r="D35" s="50"/>
      <c r="H35" s="50"/>
      <c r="L35" s="53"/>
    </row>
    <row r="36" spans="1:15" x14ac:dyDescent="0.25">
      <c r="A36" s="17" t="s">
        <v>188</v>
      </c>
      <c r="B36" s="16"/>
      <c r="C36" s="16"/>
      <c r="D36" s="17"/>
      <c r="E36" s="16"/>
      <c r="F36" s="20">
        <v>3680</v>
      </c>
      <c r="G36" s="17" t="s">
        <v>207</v>
      </c>
      <c r="H36" s="16"/>
      <c r="I36" s="17"/>
      <c r="J36" s="16"/>
      <c r="K36" s="16"/>
      <c r="L36" s="53"/>
    </row>
    <row r="37" spans="1:15" x14ac:dyDescent="0.25">
      <c r="A37" s="17"/>
      <c r="B37" s="16"/>
      <c r="C37" s="16"/>
      <c r="D37" s="17"/>
      <c r="E37" s="16"/>
      <c r="F37" s="17"/>
      <c r="G37" s="16"/>
      <c r="H37" s="16"/>
      <c r="I37" s="17"/>
      <c r="J37" s="16"/>
      <c r="K37" s="16"/>
      <c r="L37" s="53"/>
    </row>
    <row r="38" spans="1:15" x14ac:dyDescent="0.25">
      <c r="A38" s="54"/>
      <c r="B38" s="54" t="s">
        <v>214</v>
      </c>
      <c r="C38" s="54" t="s">
        <v>183</v>
      </c>
      <c r="D38" s="54" t="s">
        <v>145</v>
      </c>
      <c r="E38" s="54" t="s">
        <v>146</v>
      </c>
      <c r="F38" s="54" t="s">
        <v>67</v>
      </c>
      <c r="G38" s="54" t="s">
        <v>68</v>
      </c>
      <c r="H38" s="54" t="s">
        <v>45</v>
      </c>
      <c r="I38" s="54" t="s">
        <v>189</v>
      </c>
      <c r="J38" s="54" t="s">
        <v>47</v>
      </c>
      <c r="K38" s="54" t="s">
        <v>53</v>
      </c>
      <c r="L38" s="55"/>
      <c r="M38" s="54"/>
    </row>
    <row r="39" spans="1:15" x14ac:dyDescent="0.25">
      <c r="A39" s="49" t="s">
        <v>211</v>
      </c>
      <c r="B39" s="16">
        <f>B8*$F$36</f>
        <v>529920000</v>
      </c>
      <c r="C39" s="16">
        <f t="shared" ref="C39:K39" si="0">C8*$F$36</f>
        <v>278208000</v>
      </c>
      <c r="D39" s="16">
        <f t="shared" si="0"/>
        <v>24426000</v>
      </c>
      <c r="E39" s="16">
        <f t="shared" si="0"/>
        <v>8004000</v>
      </c>
      <c r="F39" s="16">
        <f t="shared" si="0"/>
        <v>0</v>
      </c>
      <c r="G39" s="16">
        <f t="shared" si="0"/>
        <v>52003000</v>
      </c>
      <c r="H39" s="16">
        <f t="shared" si="0"/>
        <v>6762000</v>
      </c>
      <c r="I39" s="16">
        <f t="shared" si="0"/>
        <v>31021480</v>
      </c>
      <c r="J39" s="16">
        <f t="shared" si="0"/>
        <v>0</v>
      </c>
      <c r="K39" s="16">
        <f t="shared" si="0"/>
        <v>129495520</v>
      </c>
      <c r="L39" s="21"/>
      <c r="N39" s="21"/>
      <c r="O39" s="52"/>
    </row>
    <row r="40" spans="1:15" x14ac:dyDescent="0.25">
      <c r="A40" s="49" t="s">
        <v>212</v>
      </c>
      <c r="B40" s="16">
        <f>B9*$F$36</f>
        <v>556416000</v>
      </c>
      <c r="C40" s="16">
        <f t="shared" ref="C40:K40" si="1">C9*$F$36</f>
        <v>278208000</v>
      </c>
      <c r="D40" s="16">
        <f t="shared" si="1"/>
        <v>24426000</v>
      </c>
      <c r="E40" s="16">
        <f t="shared" si="1"/>
        <v>8004000</v>
      </c>
      <c r="F40" s="16">
        <f t="shared" si="1"/>
        <v>0</v>
      </c>
      <c r="G40" s="16">
        <f t="shared" si="1"/>
        <v>52003000</v>
      </c>
      <c r="H40" s="16">
        <f t="shared" si="1"/>
        <v>6762000</v>
      </c>
      <c r="I40" s="16">
        <f t="shared" si="1"/>
        <v>31021480</v>
      </c>
      <c r="J40" s="16">
        <f t="shared" si="1"/>
        <v>0</v>
      </c>
      <c r="K40" s="16">
        <f t="shared" si="1"/>
        <v>155991520</v>
      </c>
      <c r="L40" s="21"/>
      <c r="N40" s="21"/>
      <c r="O40" s="52"/>
    </row>
    <row r="41" spans="1:15" x14ac:dyDescent="0.25">
      <c r="N41" s="16"/>
    </row>
    <row r="43" spans="1:15" x14ac:dyDescent="0.25">
      <c r="L43" s="21"/>
      <c r="N43" s="21"/>
    </row>
  </sheetData>
  <mergeCells count="5">
    <mergeCell ref="B3:C3"/>
    <mergeCell ref="F3:G3"/>
    <mergeCell ref="B34:C34"/>
    <mergeCell ref="F34:G34"/>
    <mergeCell ref="J2:L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2"/>
  <sheetViews>
    <sheetView showGridLines="0" workbookViewId="0"/>
  </sheetViews>
  <sheetFormatPr defaultColWidth="9.140625" defaultRowHeight="15" x14ac:dyDescent="0.25"/>
  <cols>
    <col min="1" max="1" width="2.7109375" style="36" customWidth="1"/>
    <col min="2" max="16" width="10.7109375" style="36" customWidth="1"/>
    <col min="17" max="16384" width="9.140625" style="36"/>
  </cols>
  <sheetData>
    <row r="1" spans="1:16" ht="18.75" x14ac:dyDescent="0.3">
      <c r="B1" s="12" t="s">
        <v>262</v>
      </c>
      <c r="C1" s="56"/>
      <c r="D1" s="56"/>
      <c r="E1" s="56"/>
      <c r="F1" s="56"/>
      <c r="G1" s="57"/>
      <c r="H1" s="57"/>
      <c r="I1" s="7"/>
      <c r="J1" s="7"/>
      <c r="K1" s="7"/>
      <c r="L1" s="7"/>
      <c r="M1" s="7"/>
      <c r="N1" s="6"/>
      <c r="O1" s="6"/>
      <c r="P1" s="6"/>
    </row>
    <row r="2" spans="1:16" x14ac:dyDescent="0.25">
      <c r="B2" s="7"/>
      <c r="G2" s="7"/>
      <c r="H2" s="7"/>
      <c r="I2" s="7"/>
      <c r="J2" s="7"/>
      <c r="K2" s="7"/>
      <c r="L2" s="7"/>
      <c r="M2" s="7"/>
      <c r="N2" s="137"/>
      <c r="O2" s="137"/>
      <c r="P2" s="137"/>
    </row>
    <row r="3" spans="1:16" ht="15" customHeight="1" x14ac:dyDescent="0.25">
      <c r="B3" s="66" t="s">
        <v>61</v>
      </c>
      <c r="C3" s="62"/>
      <c r="D3" s="62" t="s">
        <v>0</v>
      </c>
      <c r="E3" s="139" t="str">
        <f>Overview!C6</f>
        <v>Cassava</v>
      </c>
      <c r="F3" s="139"/>
      <c r="H3" s="62"/>
      <c r="I3" s="62" t="s">
        <v>62</v>
      </c>
      <c r="K3" s="7"/>
      <c r="L3" s="7"/>
      <c r="M3" s="7"/>
      <c r="N3" s="7"/>
      <c r="O3" s="7"/>
      <c r="P3" s="7"/>
    </row>
    <row r="5" spans="1:16" x14ac:dyDescent="0.25">
      <c r="A5" s="41"/>
      <c r="B5" s="41"/>
      <c r="C5" s="40"/>
      <c r="D5" s="40"/>
      <c r="E5" s="40"/>
      <c r="F5" s="40"/>
      <c r="G5" s="47" t="s">
        <v>139</v>
      </c>
      <c r="H5" s="47" t="s">
        <v>140</v>
      </c>
      <c r="I5" s="47" t="s">
        <v>141</v>
      </c>
      <c r="J5" s="47" t="s">
        <v>142</v>
      </c>
      <c r="K5" s="22"/>
      <c r="L5" s="22"/>
      <c r="M5" s="22"/>
      <c r="N5" s="22"/>
      <c r="O5" s="22"/>
      <c r="P5" s="22"/>
    </row>
    <row r="6" spans="1:16" x14ac:dyDescent="0.25">
      <c r="A6" s="41"/>
      <c r="B6" s="41" t="s">
        <v>144</v>
      </c>
      <c r="C6" s="40"/>
      <c r="D6" s="40"/>
      <c r="E6" s="40"/>
      <c r="F6" s="40"/>
      <c r="G6" s="47" t="s">
        <v>286</v>
      </c>
      <c r="H6" s="47" t="s">
        <v>9</v>
      </c>
      <c r="I6" s="47" t="s">
        <v>286</v>
      </c>
      <c r="J6" s="47" t="s">
        <v>9</v>
      </c>
      <c r="K6" s="22"/>
      <c r="L6" s="22"/>
      <c r="M6" s="22"/>
      <c r="N6" s="22"/>
      <c r="O6" s="22"/>
      <c r="P6" s="22"/>
    </row>
    <row r="7" spans="1:16" x14ac:dyDescent="0.25">
      <c r="A7" s="41"/>
      <c r="B7" s="41"/>
      <c r="C7" s="40"/>
      <c r="D7" s="41"/>
      <c r="E7" s="41"/>
      <c r="F7" s="41"/>
      <c r="G7" s="47" t="s">
        <v>10</v>
      </c>
      <c r="H7" s="47" t="s">
        <v>10</v>
      </c>
      <c r="I7" s="47" t="s">
        <v>10</v>
      </c>
      <c r="J7" s="47" t="s">
        <v>10</v>
      </c>
      <c r="K7" s="22"/>
      <c r="L7" s="22"/>
      <c r="M7" s="22"/>
      <c r="N7" s="22"/>
      <c r="O7" s="22"/>
      <c r="P7" s="22"/>
    </row>
    <row r="8" spans="1:16" x14ac:dyDescent="0.25">
      <c r="A8" s="41"/>
      <c r="B8" s="40"/>
      <c r="C8" s="40"/>
      <c r="D8" s="41" t="s">
        <v>11</v>
      </c>
      <c r="E8" s="41"/>
      <c r="F8" s="41"/>
      <c r="G8" s="47" t="s">
        <v>59</v>
      </c>
      <c r="H8" s="47" t="s">
        <v>59</v>
      </c>
      <c r="I8" s="47" t="s">
        <v>60</v>
      </c>
      <c r="J8" s="47" t="s">
        <v>60</v>
      </c>
      <c r="K8" s="22"/>
      <c r="L8" s="22"/>
      <c r="M8" s="22"/>
      <c r="N8" s="22"/>
      <c r="O8" s="22"/>
      <c r="P8" s="22"/>
    </row>
    <row r="9" spans="1:16" x14ac:dyDescent="0.25">
      <c r="A9" s="41"/>
      <c r="B9" s="41" t="s">
        <v>12</v>
      </c>
      <c r="C9" s="41"/>
      <c r="D9" s="40"/>
      <c r="E9" s="40"/>
      <c r="F9" s="40"/>
    </row>
    <row r="10" spans="1:16" x14ac:dyDescent="0.25">
      <c r="A10" s="41"/>
      <c r="B10" s="40"/>
      <c r="C10" s="40" t="s">
        <v>94</v>
      </c>
      <c r="D10" s="40"/>
      <c r="E10" s="40"/>
      <c r="F10" s="40"/>
      <c r="G10" s="119">
        <v>8</v>
      </c>
      <c r="H10" s="119">
        <v>12</v>
      </c>
      <c r="I10" s="119">
        <v>15</v>
      </c>
      <c r="J10" s="119">
        <v>20</v>
      </c>
      <c r="K10" s="120"/>
      <c r="L10" s="120"/>
      <c r="M10" s="120"/>
      <c r="N10" s="120"/>
      <c r="O10" s="98"/>
      <c r="P10" s="120"/>
    </row>
    <row r="11" spans="1:16" x14ac:dyDescent="0.25">
      <c r="A11" s="41"/>
      <c r="B11" s="40"/>
      <c r="C11" s="40" t="s">
        <v>131</v>
      </c>
      <c r="D11" s="40"/>
      <c r="E11" s="40"/>
      <c r="F11" s="40"/>
      <c r="G11" s="119">
        <v>240</v>
      </c>
      <c r="H11" s="119">
        <f t="shared" ref="H11:H42" si="0">G11</f>
        <v>240</v>
      </c>
      <c r="I11" s="119">
        <v>240</v>
      </c>
      <c r="J11" s="119">
        <v>240</v>
      </c>
      <c r="K11" s="120"/>
      <c r="L11" s="120"/>
      <c r="M11" s="120"/>
      <c r="N11" s="120"/>
      <c r="O11" s="120"/>
      <c r="P11" s="120"/>
    </row>
    <row r="12" spans="1:16" x14ac:dyDescent="0.25">
      <c r="A12" s="41"/>
      <c r="B12" s="40"/>
      <c r="C12" s="40" t="s">
        <v>93</v>
      </c>
      <c r="D12" s="40"/>
      <c r="E12" s="40"/>
      <c r="F12" s="40"/>
      <c r="G12" s="119"/>
      <c r="H12" s="119"/>
      <c r="I12" s="119"/>
      <c r="J12" s="119"/>
      <c r="K12" s="120"/>
      <c r="L12" s="120"/>
      <c r="M12" s="120"/>
      <c r="N12" s="120"/>
      <c r="O12" s="120"/>
      <c r="P12" s="120"/>
    </row>
    <row r="13" spans="1:16" x14ac:dyDescent="0.25">
      <c r="A13" s="41"/>
      <c r="B13" s="40"/>
      <c r="C13" s="40" t="s">
        <v>261</v>
      </c>
      <c r="D13" s="40"/>
      <c r="E13" s="40"/>
      <c r="F13" s="40"/>
      <c r="G13" s="119"/>
      <c r="H13" s="119"/>
      <c r="I13" s="119"/>
      <c r="J13" s="119"/>
      <c r="K13" s="120"/>
      <c r="L13" s="120"/>
      <c r="M13" s="120"/>
      <c r="N13" s="120"/>
      <c r="O13" s="120"/>
      <c r="P13" s="120"/>
    </row>
    <row r="14" spans="1:16" x14ac:dyDescent="0.25">
      <c r="A14" s="41"/>
      <c r="B14" s="40"/>
      <c r="C14" s="41" t="s">
        <v>13</v>
      </c>
      <c r="D14" s="41"/>
      <c r="E14" s="41"/>
      <c r="F14" s="41"/>
      <c r="G14" s="121">
        <f>(G10*G11)+(G12*G13)</f>
        <v>1920</v>
      </c>
      <c r="H14" s="121">
        <f t="shared" ref="H14:J14" si="1">(H10*H11)+(H12*H13)</f>
        <v>2880</v>
      </c>
      <c r="I14" s="121">
        <f t="shared" si="1"/>
        <v>3600</v>
      </c>
      <c r="J14" s="121">
        <f t="shared" si="1"/>
        <v>4800</v>
      </c>
      <c r="K14" s="121"/>
      <c r="L14" s="121"/>
      <c r="M14" s="121"/>
      <c r="N14" s="121"/>
      <c r="O14" s="121"/>
      <c r="P14" s="121"/>
    </row>
    <row r="15" spans="1:16" x14ac:dyDescent="0.25">
      <c r="A15" s="41"/>
      <c r="B15" s="40"/>
      <c r="C15" s="40"/>
      <c r="D15" s="40"/>
      <c r="E15" s="40"/>
      <c r="F15" s="4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 x14ac:dyDescent="0.25">
      <c r="A16" s="41"/>
      <c r="B16" s="41" t="s">
        <v>14</v>
      </c>
      <c r="C16" s="41"/>
      <c r="D16" s="41"/>
      <c r="E16" s="41"/>
      <c r="F16" s="4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x14ac:dyDescent="0.25">
      <c r="A17" s="41"/>
      <c r="B17" s="40"/>
      <c r="C17" s="40" t="s">
        <v>15</v>
      </c>
      <c r="D17" s="40"/>
      <c r="E17" s="40"/>
      <c r="F17" s="40"/>
      <c r="G17" s="119">
        <v>20</v>
      </c>
      <c r="H17" s="119">
        <v>20</v>
      </c>
      <c r="I17" s="119">
        <v>20</v>
      </c>
      <c r="J17" s="119">
        <v>20</v>
      </c>
      <c r="K17" s="120"/>
      <c r="L17" s="120"/>
      <c r="M17" s="120"/>
      <c r="N17" s="120"/>
      <c r="O17" s="120"/>
      <c r="P17" s="120"/>
    </row>
    <row r="18" spans="1:16" x14ac:dyDescent="0.25">
      <c r="A18" s="41"/>
      <c r="B18" s="40"/>
      <c r="C18" s="40" t="s">
        <v>16</v>
      </c>
      <c r="D18" s="40"/>
      <c r="E18" s="40"/>
      <c r="F18" s="40"/>
      <c r="G18" s="119">
        <v>50</v>
      </c>
      <c r="H18" s="119">
        <f t="shared" si="0"/>
        <v>50</v>
      </c>
      <c r="I18" s="119">
        <v>30</v>
      </c>
      <c r="J18" s="119">
        <v>30</v>
      </c>
      <c r="K18" s="120"/>
      <c r="L18" s="120"/>
      <c r="M18" s="120"/>
      <c r="N18" s="120"/>
      <c r="O18" s="120"/>
      <c r="P18" s="120"/>
    </row>
    <row r="19" spans="1:16" x14ac:dyDescent="0.25">
      <c r="A19" s="41"/>
      <c r="B19" s="40"/>
      <c r="C19" s="40" t="s">
        <v>17</v>
      </c>
      <c r="D19" s="40"/>
      <c r="E19" s="40"/>
      <c r="F19" s="40"/>
      <c r="G19" s="119">
        <v>160</v>
      </c>
      <c r="H19" s="119">
        <f t="shared" si="0"/>
        <v>160</v>
      </c>
      <c r="I19" s="119">
        <v>160</v>
      </c>
      <c r="J19" s="119">
        <v>160</v>
      </c>
      <c r="K19" s="120"/>
      <c r="L19" s="120"/>
      <c r="M19" s="120"/>
      <c r="N19" s="120"/>
      <c r="O19" s="120"/>
      <c r="P19" s="120"/>
    </row>
    <row r="20" spans="1:16" x14ac:dyDescent="0.25">
      <c r="A20" s="41"/>
      <c r="B20" s="40"/>
      <c r="C20" s="40" t="s">
        <v>18</v>
      </c>
      <c r="D20" s="40"/>
      <c r="E20" s="40"/>
      <c r="F20" s="40"/>
      <c r="G20" s="119"/>
      <c r="H20" s="119"/>
      <c r="I20" s="119"/>
      <c r="J20" s="119"/>
      <c r="K20" s="120"/>
      <c r="L20" s="120"/>
      <c r="M20" s="120"/>
      <c r="N20" s="120"/>
      <c r="O20" s="120"/>
      <c r="P20" s="120"/>
    </row>
    <row r="21" spans="1:16" x14ac:dyDescent="0.25">
      <c r="A21" s="41"/>
      <c r="B21" s="40"/>
      <c r="C21" s="40" t="s">
        <v>19</v>
      </c>
      <c r="D21" s="40"/>
      <c r="E21" s="40"/>
      <c r="F21" s="40"/>
      <c r="G21" s="119"/>
      <c r="H21" s="119"/>
      <c r="I21" s="119"/>
      <c r="J21" s="119"/>
      <c r="K21" s="120"/>
      <c r="L21" s="120"/>
      <c r="M21" s="120"/>
      <c r="N21" s="120"/>
      <c r="O21" s="120"/>
      <c r="P21" s="120"/>
    </row>
    <row r="22" spans="1:16" x14ac:dyDescent="0.25">
      <c r="A22" s="41"/>
      <c r="B22" s="40"/>
      <c r="C22" s="40" t="s">
        <v>20</v>
      </c>
      <c r="D22" s="40"/>
      <c r="E22" s="40"/>
      <c r="F22" s="40"/>
      <c r="G22" s="119">
        <v>48</v>
      </c>
      <c r="H22" s="119">
        <f t="shared" si="0"/>
        <v>48</v>
      </c>
      <c r="I22" s="119">
        <v>40</v>
      </c>
      <c r="J22" s="119">
        <v>40</v>
      </c>
      <c r="K22" s="120"/>
      <c r="L22" s="120"/>
      <c r="M22" s="120"/>
      <c r="N22" s="120"/>
      <c r="O22" s="120"/>
      <c r="P22" s="120"/>
    </row>
    <row r="23" spans="1:16" x14ac:dyDescent="0.25">
      <c r="A23" s="41"/>
      <c r="B23" s="40"/>
      <c r="C23" s="40" t="s">
        <v>21</v>
      </c>
      <c r="D23" s="40"/>
      <c r="E23" s="40"/>
      <c r="F23" s="40"/>
      <c r="G23" s="119"/>
      <c r="H23" s="119"/>
      <c r="I23" s="119">
        <v>30</v>
      </c>
      <c r="J23" s="119">
        <v>30</v>
      </c>
      <c r="K23" s="120"/>
      <c r="L23" s="120"/>
      <c r="M23" s="120"/>
      <c r="N23" s="120"/>
      <c r="O23" s="120"/>
      <c r="P23" s="120"/>
    </row>
    <row r="24" spans="1:16" x14ac:dyDescent="0.25">
      <c r="A24" s="41"/>
      <c r="B24" s="40"/>
      <c r="C24" s="40" t="s">
        <v>22</v>
      </c>
      <c r="D24" s="40"/>
      <c r="E24" s="40"/>
      <c r="F24" s="40"/>
      <c r="G24" s="119"/>
      <c r="H24" s="119"/>
      <c r="I24" s="119"/>
      <c r="J24" s="119">
        <v>105</v>
      </c>
      <c r="K24" s="120"/>
      <c r="L24" s="120"/>
      <c r="M24" s="120"/>
      <c r="N24" s="120"/>
      <c r="O24" s="120"/>
      <c r="P24" s="120"/>
    </row>
    <row r="25" spans="1:16" x14ac:dyDescent="0.25">
      <c r="A25" s="41"/>
      <c r="B25" s="40"/>
      <c r="C25" s="40" t="s">
        <v>55</v>
      </c>
      <c r="D25" s="40"/>
      <c r="E25" s="40"/>
      <c r="F25" s="40"/>
      <c r="G25" s="119"/>
      <c r="H25" s="119"/>
      <c r="I25" s="119"/>
      <c r="J25" s="119"/>
      <c r="K25" s="120"/>
      <c r="L25" s="120"/>
      <c r="M25" s="120"/>
      <c r="N25" s="120"/>
      <c r="O25" s="120"/>
      <c r="P25" s="120"/>
    </row>
    <row r="26" spans="1:16" x14ac:dyDescent="0.25">
      <c r="A26" s="41"/>
      <c r="B26" s="40"/>
      <c r="C26" s="40" t="s">
        <v>23</v>
      </c>
      <c r="D26" s="40"/>
      <c r="E26" s="40"/>
      <c r="F26" s="40"/>
      <c r="G26" s="119">
        <v>457</v>
      </c>
      <c r="H26" s="119">
        <f>G26*1.5</f>
        <v>685.5</v>
      </c>
      <c r="I26" s="119">
        <v>360</v>
      </c>
      <c r="J26" s="119">
        <v>360</v>
      </c>
      <c r="K26" s="120"/>
      <c r="L26" s="120"/>
      <c r="M26" s="120"/>
      <c r="N26" s="120"/>
      <c r="O26" s="120"/>
      <c r="P26" s="120"/>
    </row>
    <row r="27" spans="1:16" x14ac:dyDescent="0.25">
      <c r="A27" s="41"/>
      <c r="B27" s="40"/>
      <c r="C27" s="40" t="s">
        <v>24</v>
      </c>
      <c r="D27" s="40"/>
      <c r="E27" s="40"/>
      <c r="F27" s="40"/>
      <c r="G27" s="119"/>
      <c r="H27" s="119"/>
      <c r="I27" s="119">
        <v>240</v>
      </c>
      <c r="J27" s="119">
        <v>240</v>
      </c>
      <c r="K27" s="120"/>
      <c r="L27" s="120"/>
      <c r="M27" s="120"/>
      <c r="N27" s="120"/>
      <c r="O27" s="120"/>
      <c r="P27" s="120"/>
    </row>
    <row r="28" spans="1:16" x14ac:dyDescent="0.25">
      <c r="A28" s="41"/>
      <c r="B28" s="40"/>
      <c r="C28" s="40" t="s">
        <v>25</v>
      </c>
      <c r="D28" s="40"/>
      <c r="E28" s="40"/>
      <c r="F28" s="40"/>
      <c r="G28" s="119"/>
      <c r="H28" s="119"/>
      <c r="I28" s="119">
        <f>3.25*4.5*3.41</f>
        <v>49.871250000000003</v>
      </c>
      <c r="J28" s="119">
        <f>3.25*4.5*3.41</f>
        <v>49.871250000000003</v>
      </c>
      <c r="K28" s="120"/>
      <c r="L28" s="120"/>
      <c r="M28" s="120"/>
      <c r="N28" s="120"/>
      <c r="O28" s="120"/>
      <c r="P28" s="120"/>
    </row>
    <row r="29" spans="1:16" x14ac:dyDescent="0.25">
      <c r="A29" s="41"/>
      <c r="B29" s="40"/>
      <c r="C29" s="40" t="s">
        <v>56</v>
      </c>
      <c r="D29" s="40"/>
      <c r="E29" s="40"/>
      <c r="F29" s="40"/>
      <c r="G29" s="119"/>
      <c r="H29" s="119"/>
      <c r="I29" s="119"/>
      <c r="J29" s="119"/>
      <c r="K29" s="120"/>
      <c r="L29" s="120"/>
      <c r="M29" s="120"/>
      <c r="N29" s="120"/>
      <c r="O29" s="120"/>
      <c r="P29" s="120"/>
    </row>
    <row r="30" spans="1:16" x14ac:dyDescent="0.25">
      <c r="A30" s="41"/>
      <c r="B30" s="40"/>
      <c r="C30" s="40" t="s">
        <v>57</v>
      </c>
      <c r="D30" s="40"/>
      <c r="E30" s="40"/>
      <c r="F30" s="40"/>
      <c r="G30" s="119"/>
      <c r="H30" s="119"/>
      <c r="I30" s="119"/>
      <c r="J30" s="119"/>
      <c r="K30" s="120"/>
      <c r="L30" s="120"/>
      <c r="M30" s="120"/>
      <c r="N30" s="120"/>
      <c r="O30" s="120"/>
      <c r="P30" s="120"/>
    </row>
    <row r="31" spans="1:16" x14ac:dyDescent="0.25">
      <c r="A31" s="41"/>
      <c r="B31" s="40"/>
      <c r="C31" s="41" t="s">
        <v>27</v>
      </c>
      <c r="D31" s="41"/>
      <c r="E31" s="41"/>
      <c r="F31" s="41"/>
      <c r="G31" s="121">
        <f t="shared" ref="G31" si="2">SUM(G17:G30)</f>
        <v>735</v>
      </c>
      <c r="H31" s="121">
        <f>SUM(H17:H30)</f>
        <v>963.5</v>
      </c>
      <c r="I31" s="121">
        <f>SUM(I17:I30)</f>
        <v>929.87125000000003</v>
      </c>
      <c r="J31" s="121">
        <f>SUM(J17:J30)</f>
        <v>1034.8712499999999</v>
      </c>
      <c r="K31" s="121"/>
      <c r="L31" s="121"/>
      <c r="M31" s="121"/>
      <c r="N31" s="121"/>
      <c r="O31" s="121"/>
      <c r="P31" s="121"/>
    </row>
    <row r="32" spans="1:16" x14ac:dyDescent="0.25">
      <c r="A32" s="41"/>
      <c r="B32" s="41" t="s">
        <v>28</v>
      </c>
      <c r="C32" s="41"/>
      <c r="D32" s="40"/>
      <c r="E32" s="40"/>
      <c r="F32" s="4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x14ac:dyDescent="0.25">
      <c r="A33" s="41"/>
      <c r="B33" s="40"/>
      <c r="C33" s="40" t="s">
        <v>29</v>
      </c>
      <c r="D33" s="40"/>
      <c r="E33" s="40"/>
      <c r="F33" s="40"/>
      <c r="G33" s="119">
        <v>100</v>
      </c>
      <c r="H33" s="119">
        <f t="shared" si="0"/>
        <v>100</v>
      </c>
      <c r="I33" s="119">
        <v>100</v>
      </c>
      <c r="J33" s="119">
        <v>100</v>
      </c>
      <c r="K33" s="120"/>
      <c r="L33" s="120"/>
      <c r="M33" s="120"/>
      <c r="N33" s="120"/>
      <c r="O33" s="120"/>
      <c r="P33" s="120"/>
    </row>
    <row r="34" spans="1:16" x14ac:dyDescent="0.25">
      <c r="A34" s="41"/>
      <c r="B34" s="40"/>
      <c r="C34" s="40" t="s">
        <v>30</v>
      </c>
      <c r="D34" s="40"/>
      <c r="E34" s="40"/>
      <c r="F34" s="40"/>
      <c r="G34" s="119"/>
      <c r="H34" s="119"/>
      <c r="I34" s="119"/>
      <c r="J34" s="119"/>
      <c r="K34" s="120"/>
      <c r="L34" s="120"/>
      <c r="M34" s="120"/>
      <c r="N34" s="120"/>
      <c r="O34" s="120"/>
      <c r="P34" s="120"/>
    </row>
    <row r="35" spans="1:16" x14ac:dyDescent="0.25">
      <c r="A35" s="41"/>
      <c r="B35" s="40"/>
      <c r="C35" s="40"/>
      <c r="D35" s="40" t="s">
        <v>31</v>
      </c>
      <c r="E35" s="40"/>
      <c r="F35" s="40"/>
      <c r="G35" s="119">
        <v>100</v>
      </c>
      <c r="H35" s="119">
        <f t="shared" si="0"/>
        <v>100</v>
      </c>
      <c r="I35" s="119"/>
      <c r="J35" s="119"/>
      <c r="K35" s="120"/>
      <c r="L35" s="120"/>
      <c r="M35" s="120"/>
      <c r="N35" s="120"/>
      <c r="O35" s="120"/>
      <c r="P35" s="120"/>
    </row>
    <row r="36" spans="1:16" x14ac:dyDescent="0.25">
      <c r="A36" s="41"/>
      <c r="B36" s="40"/>
      <c r="C36" s="40"/>
      <c r="D36" s="40" t="s">
        <v>32</v>
      </c>
      <c r="E36" s="40"/>
      <c r="F36" s="40"/>
      <c r="G36" s="119"/>
      <c r="H36" s="119"/>
      <c r="I36" s="119"/>
      <c r="J36" s="119"/>
      <c r="K36" s="120"/>
      <c r="L36" s="120"/>
      <c r="M36" s="120"/>
      <c r="N36" s="120"/>
      <c r="O36" s="120"/>
      <c r="P36" s="120"/>
    </row>
    <row r="37" spans="1:16" x14ac:dyDescent="0.25">
      <c r="A37" s="41"/>
      <c r="B37" s="40"/>
      <c r="C37" s="40"/>
      <c r="D37" s="40" t="s">
        <v>33</v>
      </c>
      <c r="E37" s="40"/>
      <c r="F37" s="40"/>
      <c r="G37" s="119">
        <v>20</v>
      </c>
      <c r="H37" s="119">
        <v>20</v>
      </c>
      <c r="I37" s="119">
        <v>20</v>
      </c>
      <c r="J37" s="119">
        <v>20</v>
      </c>
      <c r="K37" s="120"/>
      <c r="L37" s="120"/>
      <c r="M37" s="120"/>
      <c r="N37" s="120"/>
      <c r="O37" s="120"/>
      <c r="P37" s="120"/>
    </row>
    <row r="38" spans="1:16" x14ac:dyDescent="0.25">
      <c r="A38" s="41"/>
      <c r="B38" s="40"/>
      <c r="C38" s="40"/>
      <c r="D38" s="40" t="s">
        <v>34</v>
      </c>
      <c r="E38" s="40"/>
      <c r="F38" s="40"/>
      <c r="G38" s="119"/>
      <c r="H38" s="119"/>
      <c r="I38" s="119"/>
      <c r="J38" s="119"/>
      <c r="K38" s="120"/>
      <c r="L38" s="120"/>
      <c r="M38" s="120"/>
      <c r="N38" s="120"/>
      <c r="O38" s="120"/>
      <c r="P38" s="120"/>
    </row>
    <row r="39" spans="1:16" x14ac:dyDescent="0.25">
      <c r="A39" s="41"/>
      <c r="B39" s="40"/>
      <c r="C39" s="40"/>
      <c r="D39" s="40" t="s">
        <v>35</v>
      </c>
      <c r="E39" s="40"/>
      <c r="F39" s="40"/>
      <c r="G39" s="119"/>
      <c r="H39" s="119"/>
      <c r="I39" s="119"/>
      <c r="J39" s="119"/>
      <c r="K39" s="120"/>
      <c r="L39" s="120"/>
      <c r="M39" s="120"/>
      <c r="N39" s="120"/>
      <c r="O39" s="120"/>
      <c r="P39" s="120"/>
    </row>
    <row r="40" spans="1:16" x14ac:dyDescent="0.25">
      <c r="A40" s="41"/>
      <c r="B40" s="40"/>
      <c r="C40" s="40"/>
      <c r="D40" s="40" t="s">
        <v>36</v>
      </c>
      <c r="E40" s="40"/>
      <c r="F40" s="40"/>
      <c r="G40" s="119">
        <v>100</v>
      </c>
      <c r="H40" s="119">
        <f t="shared" si="0"/>
        <v>100</v>
      </c>
      <c r="I40" s="119">
        <v>100</v>
      </c>
      <c r="J40" s="119">
        <v>100</v>
      </c>
      <c r="K40" s="120"/>
      <c r="L40" s="120"/>
      <c r="M40" s="120"/>
      <c r="N40" s="120"/>
      <c r="O40" s="120"/>
      <c r="P40" s="120"/>
    </row>
    <row r="41" spans="1:16" x14ac:dyDescent="0.25">
      <c r="A41" s="41"/>
      <c r="B41" s="40"/>
      <c r="C41" s="40"/>
      <c r="D41" s="40" t="s">
        <v>37</v>
      </c>
      <c r="E41" s="40"/>
      <c r="F41" s="40"/>
      <c r="G41" s="119">
        <v>90</v>
      </c>
      <c r="H41" s="119">
        <f t="shared" si="0"/>
        <v>90</v>
      </c>
      <c r="I41" s="119">
        <v>90</v>
      </c>
      <c r="J41" s="119">
        <v>90</v>
      </c>
      <c r="K41" s="120"/>
      <c r="L41" s="120"/>
      <c r="M41" s="120"/>
      <c r="N41" s="120"/>
      <c r="O41" s="120"/>
      <c r="P41" s="120"/>
    </row>
    <row r="42" spans="1:16" x14ac:dyDescent="0.25">
      <c r="A42" s="41"/>
      <c r="B42" s="40"/>
      <c r="C42" s="40"/>
      <c r="D42" s="40" t="s">
        <v>38</v>
      </c>
      <c r="E42" s="40"/>
      <c r="F42" s="40"/>
      <c r="G42" s="119">
        <v>90</v>
      </c>
      <c r="H42" s="119">
        <f t="shared" si="0"/>
        <v>90</v>
      </c>
      <c r="I42" s="119">
        <v>90</v>
      </c>
      <c r="J42" s="119">
        <v>90</v>
      </c>
      <c r="K42" s="120"/>
      <c r="L42" s="120"/>
      <c r="M42" s="120"/>
      <c r="N42" s="120"/>
      <c r="O42" s="120"/>
      <c r="P42" s="120"/>
    </row>
    <row r="43" spans="1:16" x14ac:dyDescent="0.25">
      <c r="A43" s="41"/>
      <c r="B43" s="40"/>
      <c r="C43" s="40"/>
      <c r="D43" s="40" t="s">
        <v>39</v>
      </c>
      <c r="E43" s="40"/>
      <c r="F43" s="40"/>
      <c r="G43" s="119"/>
      <c r="H43" s="119"/>
      <c r="I43" s="119"/>
      <c r="J43" s="119"/>
      <c r="K43" s="120"/>
      <c r="L43" s="120"/>
      <c r="M43" s="120"/>
      <c r="N43" s="120"/>
      <c r="O43" s="120"/>
      <c r="P43" s="120"/>
    </row>
    <row r="44" spans="1:16" x14ac:dyDescent="0.25">
      <c r="A44" s="41"/>
      <c r="B44" s="40"/>
      <c r="C44" s="40"/>
      <c r="D44" s="40" t="s">
        <v>40</v>
      </c>
      <c r="E44" s="40"/>
      <c r="F44" s="40"/>
      <c r="G44" s="119">
        <v>60</v>
      </c>
      <c r="H44" s="119">
        <v>60</v>
      </c>
      <c r="I44" s="119">
        <v>60</v>
      </c>
      <c r="J44" s="119">
        <v>60</v>
      </c>
      <c r="K44" s="120"/>
      <c r="L44" s="120"/>
      <c r="M44" s="120"/>
      <c r="N44" s="120"/>
      <c r="O44" s="120"/>
      <c r="P44" s="120"/>
    </row>
    <row r="45" spans="1:16" x14ac:dyDescent="0.25">
      <c r="A45" s="41"/>
      <c r="B45" s="40"/>
      <c r="C45" s="40"/>
      <c r="D45" s="40" t="s">
        <v>41</v>
      </c>
      <c r="E45" s="40"/>
      <c r="F45" s="40"/>
      <c r="G45" s="119"/>
      <c r="H45" s="119"/>
      <c r="I45" s="119"/>
      <c r="J45" s="119"/>
      <c r="K45" s="120"/>
      <c r="L45" s="120"/>
      <c r="M45" s="120"/>
      <c r="N45" s="120"/>
      <c r="O45" s="120"/>
      <c r="P45" s="120"/>
    </row>
    <row r="46" spans="1:16" x14ac:dyDescent="0.25">
      <c r="A46" s="41"/>
      <c r="B46" s="40"/>
      <c r="C46" s="40"/>
      <c r="D46" s="40" t="s">
        <v>42</v>
      </c>
      <c r="E46" s="40"/>
      <c r="F46" s="40"/>
      <c r="G46" s="119">
        <v>500</v>
      </c>
      <c r="H46" s="119">
        <f>G46*1.5</f>
        <v>750</v>
      </c>
      <c r="I46" s="119">
        <v>500</v>
      </c>
      <c r="J46" s="119">
        <f>I46*1.333</f>
        <v>666.5</v>
      </c>
      <c r="K46" s="120"/>
      <c r="L46" s="120"/>
      <c r="M46" s="120"/>
      <c r="N46" s="120"/>
      <c r="O46" s="120"/>
      <c r="P46" s="120"/>
    </row>
    <row r="47" spans="1:16" x14ac:dyDescent="0.25">
      <c r="A47" s="41"/>
      <c r="B47" s="40"/>
      <c r="C47" s="40"/>
      <c r="D47" s="40" t="s">
        <v>43</v>
      </c>
      <c r="E47" s="40"/>
      <c r="F47" s="40"/>
      <c r="G47" s="119">
        <v>330</v>
      </c>
      <c r="H47" s="119">
        <f>G47*1.5</f>
        <v>495</v>
      </c>
      <c r="I47" s="119">
        <f>G47*1.875</f>
        <v>618.75</v>
      </c>
      <c r="J47" s="119">
        <f>I47*1.333</f>
        <v>824.79374999999993</v>
      </c>
      <c r="K47" s="120"/>
      <c r="L47" s="120"/>
      <c r="M47" s="120"/>
      <c r="N47" s="120"/>
      <c r="O47" s="120"/>
      <c r="P47" s="120"/>
    </row>
    <row r="48" spans="1:16" x14ac:dyDescent="0.25">
      <c r="A48" s="41"/>
      <c r="B48" s="40"/>
      <c r="C48" s="40"/>
      <c r="D48" s="40" t="s">
        <v>26</v>
      </c>
      <c r="E48" s="40"/>
      <c r="F48" s="40"/>
      <c r="G48" s="119"/>
      <c r="H48" s="119"/>
      <c r="I48" s="119"/>
      <c r="J48" s="119"/>
      <c r="K48" s="120"/>
      <c r="L48" s="120"/>
      <c r="M48" s="120"/>
      <c r="N48" s="120"/>
      <c r="O48" s="120"/>
      <c r="P48" s="120"/>
    </row>
    <row r="49" spans="1:16" x14ac:dyDescent="0.25">
      <c r="A49" s="41"/>
      <c r="B49" s="40"/>
      <c r="C49" s="40"/>
      <c r="D49" s="40" t="s">
        <v>44</v>
      </c>
      <c r="E49" s="40"/>
      <c r="F49" s="40"/>
      <c r="G49" s="119">
        <f t="shared" ref="G49:J49" si="3">SUM(G35:G48)</f>
        <v>1290</v>
      </c>
      <c r="H49" s="119">
        <f t="shared" si="3"/>
        <v>1705</v>
      </c>
      <c r="I49" s="119">
        <f t="shared" si="3"/>
        <v>1478.75</v>
      </c>
      <c r="J49" s="119">
        <f t="shared" si="3"/>
        <v>1851.2937499999998</v>
      </c>
      <c r="K49" s="120"/>
      <c r="L49" s="120"/>
      <c r="M49" s="120"/>
      <c r="N49" s="120"/>
      <c r="O49" s="120"/>
      <c r="P49" s="120"/>
    </row>
    <row r="50" spans="1:16" x14ac:dyDescent="0.25">
      <c r="A50" s="41"/>
      <c r="B50" s="40"/>
      <c r="C50" s="40" t="s">
        <v>45</v>
      </c>
      <c r="D50" s="40"/>
      <c r="E50" s="40"/>
      <c r="F50" s="40"/>
      <c r="G50" s="119">
        <v>0</v>
      </c>
      <c r="H50" s="119">
        <v>0</v>
      </c>
      <c r="I50" s="119">
        <v>0</v>
      </c>
      <c r="J50" s="119">
        <v>0</v>
      </c>
      <c r="K50" s="120"/>
      <c r="L50" s="120"/>
      <c r="M50" s="120"/>
      <c r="N50" s="120"/>
      <c r="O50" s="120"/>
      <c r="P50" s="120"/>
    </row>
    <row r="51" spans="1:16" x14ac:dyDescent="0.25">
      <c r="A51" s="41"/>
      <c r="B51" s="40"/>
      <c r="C51" s="40" t="s">
        <v>46</v>
      </c>
      <c r="D51" s="40"/>
      <c r="E51" s="40"/>
      <c r="F51" s="40"/>
      <c r="G51" s="119">
        <v>0</v>
      </c>
      <c r="H51" s="119">
        <v>0</v>
      </c>
      <c r="I51" s="119">
        <v>0</v>
      </c>
      <c r="J51" s="119">
        <v>0</v>
      </c>
      <c r="K51" s="120"/>
      <c r="L51" s="120"/>
      <c r="M51" s="120"/>
      <c r="N51" s="120"/>
      <c r="O51" s="120"/>
      <c r="P51" s="120"/>
    </row>
    <row r="52" spans="1:16" x14ac:dyDescent="0.25">
      <c r="A52" s="41"/>
      <c r="B52" s="40"/>
      <c r="C52" s="40" t="s">
        <v>47</v>
      </c>
      <c r="D52" s="40"/>
      <c r="E52" s="40"/>
      <c r="F52" s="40"/>
      <c r="G52" s="119">
        <v>0</v>
      </c>
      <c r="H52" s="119">
        <v>0</v>
      </c>
      <c r="I52" s="119">
        <v>0</v>
      </c>
      <c r="J52" s="119">
        <v>0</v>
      </c>
      <c r="K52" s="120"/>
      <c r="L52" s="120"/>
      <c r="M52" s="120"/>
      <c r="N52" s="120"/>
      <c r="O52" s="120"/>
      <c r="P52" s="120"/>
    </row>
    <row r="53" spans="1:16" x14ac:dyDescent="0.25">
      <c r="A53" s="41"/>
      <c r="B53" s="41" t="s">
        <v>48</v>
      </c>
      <c r="C53" s="41"/>
      <c r="D53" s="41"/>
      <c r="E53" s="41"/>
      <c r="F53" s="41"/>
      <c r="G53" s="121">
        <f>G14-G31-G33-G49-G50-G51-G52</f>
        <v>-205</v>
      </c>
      <c r="H53" s="121">
        <f t="shared" ref="H53:J53" si="4">H14-H31-H33-H49-H50-H51-H52</f>
        <v>111.5</v>
      </c>
      <c r="I53" s="121">
        <f t="shared" si="4"/>
        <v>1091.3787499999999</v>
      </c>
      <c r="J53" s="121">
        <f t="shared" si="4"/>
        <v>1813.835</v>
      </c>
      <c r="K53" s="121"/>
      <c r="L53" s="121"/>
      <c r="M53" s="121"/>
      <c r="N53" s="121"/>
      <c r="O53" s="121"/>
      <c r="P53" s="121"/>
    </row>
    <row r="54" spans="1:16" x14ac:dyDescent="0.25">
      <c r="A54" s="41"/>
      <c r="B54" s="40"/>
      <c r="C54" s="41" t="s">
        <v>49</v>
      </c>
      <c r="D54" s="40"/>
      <c r="E54" s="40"/>
      <c r="F54" s="4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1:16" x14ac:dyDescent="0.25">
      <c r="A55" s="41"/>
      <c r="B55" s="40"/>
      <c r="C55" s="40"/>
      <c r="D55" s="40" t="s">
        <v>50</v>
      </c>
      <c r="E55" s="40"/>
      <c r="F55" s="40"/>
      <c r="G55" s="119"/>
      <c r="H55" s="119">
        <v>0</v>
      </c>
      <c r="I55" s="119">
        <v>50</v>
      </c>
      <c r="J55" s="119">
        <v>50</v>
      </c>
      <c r="K55" s="120"/>
      <c r="L55" s="120"/>
      <c r="M55" s="120"/>
      <c r="N55" s="120"/>
      <c r="O55" s="120"/>
      <c r="P55" s="120"/>
    </row>
    <row r="56" spans="1:16" x14ac:dyDescent="0.25">
      <c r="A56" s="41"/>
      <c r="B56" s="40"/>
      <c r="C56" s="40"/>
      <c r="D56" s="40" t="s">
        <v>51</v>
      </c>
      <c r="E56" s="40"/>
      <c r="F56" s="40"/>
      <c r="G56" s="119"/>
      <c r="H56" s="119">
        <v>0</v>
      </c>
      <c r="I56" s="119">
        <v>67</v>
      </c>
      <c r="J56" s="119">
        <v>67</v>
      </c>
      <c r="K56" s="120"/>
      <c r="L56" s="120"/>
      <c r="M56" s="120"/>
      <c r="N56" s="120"/>
      <c r="O56" s="120"/>
      <c r="P56" s="120"/>
    </row>
    <row r="57" spans="1:16" x14ac:dyDescent="0.25">
      <c r="A57" s="41"/>
      <c r="B57" s="40"/>
      <c r="C57" s="40"/>
      <c r="D57" s="40" t="s">
        <v>26</v>
      </c>
      <c r="E57" s="40"/>
      <c r="F57" s="40"/>
      <c r="G57" s="119"/>
      <c r="H57" s="119">
        <v>0</v>
      </c>
      <c r="I57" s="119">
        <v>0</v>
      </c>
      <c r="J57" s="119">
        <v>0</v>
      </c>
      <c r="K57" s="120"/>
      <c r="L57" s="120"/>
      <c r="M57" s="120"/>
      <c r="N57" s="120"/>
      <c r="O57" s="120"/>
      <c r="P57" s="120"/>
    </row>
    <row r="58" spans="1:16" x14ac:dyDescent="0.25">
      <c r="A58" s="41"/>
      <c r="B58" s="41"/>
      <c r="C58" s="41"/>
      <c r="D58" s="41" t="s">
        <v>52</v>
      </c>
      <c r="E58" s="41"/>
      <c r="F58" s="41"/>
      <c r="G58" s="121">
        <f t="shared" ref="G58:J58" si="5">SUM(G55:G57)</f>
        <v>0</v>
      </c>
      <c r="H58" s="121">
        <f t="shared" si="5"/>
        <v>0</v>
      </c>
      <c r="I58" s="121">
        <f t="shared" si="5"/>
        <v>117</v>
      </c>
      <c r="J58" s="121">
        <f t="shared" si="5"/>
        <v>117</v>
      </c>
      <c r="K58" s="121"/>
      <c r="L58" s="121"/>
      <c r="M58" s="121"/>
      <c r="N58" s="121"/>
      <c r="O58" s="121"/>
      <c r="P58" s="121"/>
    </row>
    <row r="59" spans="1:16" x14ac:dyDescent="0.25">
      <c r="A59" s="41"/>
      <c r="B59" s="41" t="s">
        <v>53</v>
      </c>
      <c r="C59" s="41"/>
      <c r="D59" s="41"/>
      <c r="E59" s="41"/>
      <c r="F59" s="41"/>
      <c r="G59" s="121">
        <f t="shared" ref="G59:J59" si="6">G53-G58</f>
        <v>-205</v>
      </c>
      <c r="H59" s="121">
        <f t="shared" si="6"/>
        <v>111.5</v>
      </c>
      <c r="I59" s="121">
        <f t="shared" si="6"/>
        <v>974.37874999999985</v>
      </c>
      <c r="J59" s="121">
        <f t="shared" si="6"/>
        <v>1696.835</v>
      </c>
      <c r="K59" s="121"/>
      <c r="L59" s="121"/>
      <c r="M59" s="121"/>
      <c r="N59" s="121"/>
      <c r="O59" s="121"/>
      <c r="P59" s="121"/>
    </row>
    <row r="60" spans="1:16" s="42" customFormat="1" x14ac:dyDescent="0.25"/>
    <row r="61" spans="1:16" x14ac:dyDescent="0.25">
      <c r="B61" s="69" t="str">
        <f>B3</f>
        <v>Production</v>
      </c>
      <c r="C61" s="69"/>
      <c r="D61" s="69" t="str">
        <f>D3</f>
        <v>Crop:</v>
      </c>
      <c r="E61" s="69" t="str">
        <f>E3</f>
        <v>Cassava</v>
      </c>
      <c r="F61" s="26"/>
      <c r="G61" s="69" t="s">
        <v>177</v>
      </c>
      <c r="H61" s="59"/>
      <c r="I61" s="59"/>
      <c r="J61" s="59"/>
      <c r="K61" s="59"/>
      <c r="L61" s="59"/>
      <c r="M61" s="59"/>
      <c r="N61" s="59"/>
    </row>
    <row r="63" spans="1:16" x14ac:dyDescent="0.25">
      <c r="B63" s="43" t="str">
        <f>G5</f>
        <v>Option 1:</v>
      </c>
      <c r="C63" s="44" t="str">
        <f>G6</f>
        <v>Current</v>
      </c>
      <c r="D63" s="44" t="str">
        <f>G7</f>
        <v>farm</v>
      </c>
      <c r="E63" s="45" t="str">
        <f>G8</f>
        <v>Smallholder</v>
      </c>
      <c r="F63" s="7" t="s">
        <v>136</v>
      </c>
      <c r="G63" s="7"/>
      <c r="H63" s="60" t="s">
        <v>64</v>
      </c>
      <c r="I63" s="60" t="s">
        <v>64</v>
      </c>
      <c r="J63" s="60"/>
      <c r="K63" s="60"/>
      <c r="L63" s="60"/>
      <c r="M63" s="60"/>
      <c r="N63" s="60"/>
      <c r="O63" s="60"/>
    </row>
    <row r="64" spans="1:16" x14ac:dyDescent="0.25">
      <c r="B64" s="7" t="s">
        <v>132</v>
      </c>
      <c r="C64" s="7"/>
      <c r="D64" s="7"/>
      <c r="E64" s="7"/>
      <c r="G64" s="36" t="s">
        <v>133</v>
      </c>
      <c r="H64" s="60" t="s">
        <v>65</v>
      </c>
      <c r="I64" s="60" t="s">
        <v>66</v>
      </c>
      <c r="J64" s="61" t="s">
        <v>67</v>
      </c>
      <c r="K64" s="61" t="s">
        <v>68</v>
      </c>
      <c r="L64" s="61" t="s">
        <v>45</v>
      </c>
      <c r="M64" s="61" t="s">
        <v>69</v>
      </c>
      <c r="N64" s="61" t="s">
        <v>47</v>
      </c>
      <c r="O64" s="61" t="s">
        <v>70</v>
      </c>
    </row>
    <row r="65" spans="2:16" x14ac:dyDescent="0.25">
      <c r="C65" s="36" t="s">
        <v>15</v>
      </c>
      <c r="G65" s="90">
        <f t="shared" ref="G65:G79" si="7">G17</f>
        <v>20</v>
      </c>
      <c r="H65" s="90">
        <f>$G65*'Break-down of IGS and Deprec'!F23</f>
        <v>0</v>
      </c>
      <c r="I65" s="90">
        <f>$G65*'Break-down of IGS and Deprec'!G23</f>
        <v>12</v>
      </c>
      <c r="J65" s="90">
        <f>$G65*'Break-down of IGS and Deprec'!H23</f>
        <v>0</v>
      </c>
      <c r="K65" s="90">
        <f>$G65*'Break-down of IGS and Deprec'!I23</f>
        <v>2.5</v>
      </c>
      <c r="L65" s="90">
        <f>$G65*'Break-down of IGS and Deprec'!J23</f>
        <v>0</v>
      </c>
      <c r="M65" s="90">
        <f>$G65*'Break-down of IGS and Deprec'!K23</f>
        <v>0</v>
      </c>
      <c r="N65" s="90">
        <f>$G65*'Break-down of IGS and Deprec'!L23</f>
        <v>0</v>
      </c>
      <c r="O65" s="90">
        <f>$G65*'Break-down of IGS and Deprec'!M23</f>
        <v>5.5</v>
      </c>
    </row>
    <row r="66" spans="2:16" x14ac:dyDescent="0.25">
      <c r="C66" s="36" t="s">
        <v>16</v>
      </c>
      <c r="G66" s="90">
        <f t="shared" si="7"/>
        <v>50</v>
      </c>
      <c r="H66" s="90">
        <f>$G66*'Break-down of IGS and Deprec'!F24</f>
        <v>12.8</v>
      </c>
      <c r="I66" s="90">
        <f>$G66*'Break-down of IGS and Deprec'!G24</f>
        <v>0</v>
      </c>
      <c r="J66" s="90">
        <f>$G66*'Break-down of IGS and Deprec'!H24</f>
        <v>0</v>
      </c>
      <c r="K66" s="90">
        <f>$G66*'Break-down of IGS and Deprec'!I24</f>
        <v>17</v>
      </c>
      <c r="L66" s="90">
        <f>$G66*'Break-down of IGS and Deprec'!J24</f>
        <v>0</v>
      </c>
      <c r="M66" s="90">
        <f>$G66*'Break-down of IGS and Deprec'!K24</f>
        <v>1.2</v>
      </c>
      <c r="N66" s="90">
        <f>$G66*'Break-down of IGS and Deprec'!L24</f>
        <v>0</v>
      </c>
      <c r="O66" s="90">
        <f>$G66*'Break-down of IGS and Deprec'!M24</f>
        <v>19.000000000000004</v>
      </c>
    </row>
    <row r="67" spans="2:16" x14ac:dyDescent="0.25">
      <c r="C67" s="36" t="s">
        <v>17</v>
      </c>
      <c r="G67" s="90">
        <f t="shared" si="7"/>
        <v>160</v>
      </c>
      <c r="H67" s="90">
        <f>$G67*'Break-down of IGS and Deprec'!F25</f>
        <v>0</v>
      </c>
      <c r="I67" s="90">
        <f>$G67*'Break-down of IGS and Deprec'!G25</f>
        <v>3.2</v>
      </c>
      <c r="J67" s="90">
        <f>$G67*'Break-down of IGS and Deprec'!H25</f>
        <v>10</v>
      </c>
      <c r="K67" s="90">
        <f>$G67*'Break-down of IGS and Deprec'!I25</f>
        <v>129</v>
      </c>
      <c r="L67" s="90">
        <f>$G67*'Break-down of IGS and Deprec'!J25</f>
        <v>0</v>
      </c>
      <c r="M67" s="90">
        <f>$G67*'Break-down of IGS and Deprec'!K25</f>
        <v>0</v>
      </c>
      <c r="N67" s="90">
        <f>$G67*'Break-down of IGS and Deprec'!L25</f>
        <v>0</v>
      </c>
      <c r="O67" s="90">
        <f>$G67*'Break-down of IGS and Deprec'!M25</f>
        <v>17.800000000000011</v>
      </c>
    </row>
    <row r="68" spans="2:16" x14ac:dyDescent="0.25">
      <c r="C68" s="36" t="s">
        <v>18</v>
      </c>
      <c r="G68" s="90">
        <f t="shared" si="7"/>
        <v>0</v>
      </c>
      <c r="H68" s="90">
        <f>$G68*'Break-down of IGS and Deprec'!F26</f>
        <v>0</v>
      </c>
      <c r="I68" s="90">
        <f>$G68*'Break-down of IGS and Deprec'!G26</f>
        <v>0</v>
      </c>
      <c r="J68" s="90">
        <f>$G68*'Break-down of IGS and Deprec'!H26</f>
        <v>0</v>
      </c>
      <c r="K68" s="90">
        <f>$G68*'Break-down of IGS and Deprec'!I26</f>
        <v>0</v>
      </c>
      <c r="L68" s="90">
        <f>$G68*'Break-down of IGS and Deprec'!J26</f>
        <v>0</v>
      </c>
      <c r="M68" s="90">
        <f>$G68*'Break-down of IGS and Deprec'!K26</f>
        <v>0</v>
      </c>
      <c r="N68" s="90">
        <f>$G68*'Break-down of IGS and Deprec'!L26</f>
        <v>0</v>
      </c>
      <c r="O68" s="90">
        <f>$G68*'Break-down of IGS and Deprec'!M26</f>
        <v>0</v>
      </c>
    </row>
    <row r="69" spans="2:16" x14ac:dyDescent="0.25">
      <c r="C69" s="36" t="s">
        <v>19</v>
      </c>
      <c r="G69" s="90">
        <f t="shared" si="7"/>
        <v>0</v>
      </c>
      <c r="H69" s="90">
        <f>$G69*'Break-down of IGS and Deprec'!F26</f>
        <v>0</v>
      </c>
      <c r="I69" s="90">
        <f>$G69*'Break-down of IGS and Deprec'!G26</f>
        <v>0</v>
      </c>
      <c r="J69" s="90">
        <f>$G69*'Break-down of IGS and Deprec'!H26</f>
        <v>0</v>
      </c>
      <c r="K69" s="90">
        <f>$G69*'Break-down of IGS and Deprec'!I26</f>
        <v>0</v>
      </c>
      <c r="L69" s="90">
        <f>$G69*'Break-down of IGS and Deprec'!J26</f>
        <v>0</v>
      </c>
      <c r="M69" s="90">
        <f>$G69*'Break-down of IGS and Deprec'!K26</f>
        <v>0</v>
      </c>
      <c r="N69" s="90">
        <f>$G69*'Break-down of IGS and Deprec'!L26</f>
        <v>0</v>
      </c>
      <c r="O69" s="90">
        <f>$G69*'Break-down of IGS and Deprec'!M26</f>
        <v>0</v>
      </c>
    </row>
    <row r="70" spans="2:16" x14ac:dyDescent="0.25">
      <c r="C70" s="36" t="s">
        <v>20</v>
      </c>
      <c r="G70" s="90">
        <f t="shared" si="7"/>
        <v>48</v>
      </c>
      <c r="H70" s="90">
        <f>$G70*'Break-down of IGS and Deprec'!F27</f>
        <v>26</v>
      </c>
      <c r="I70" s="90">
        <f>$G70*'Break-down of IGS and Deprec'!G27</f>
        <v>0</v>
      </c>
      <c r="J70" s="90">
        <f>$G70*'Break-down of IGS and Deprec'!H27</f>
        <v>0</v>
      </c>
      <c r="K70" s="90">
        <f>$G70*'Break-down of IGS and Deprec'!I27</f>
        <v>1.32</v>
      </c>
      <c r="L70" s="90">
        <f>$G70*'Break-down of IGS and Deprec'!J27</f>
        <v>6</v>
      </c>
      <c r="M70" s="90">
        <f>$G70*'Break-down of IGS and Deprec'!K27</f>
        <v>0</v>
      </c>
      <c r="N70" s="90">
        <f>$G70*'Break-down of IGS and Deprec'!L27</f>
        <v>0</v>
      </c>
      <c r="O70" s="90">
        <f>$G70*'Break-down of IGS and Deprec'!M27</f>
        <v>14.68</v>
      </c>
    </row>
    <row r="71" spans="2:16" x14ac:dyDescent="0.25">
      <c r="C71" s="36" t="s">
        <v>21</v>
      </c>
      <c r="G71" s="90">
        <f t="shared" si="7"/>
        <v>0</v>
      </c>
      <c r="H71" s="90">
        <f>$G71*'Break-down of IGS and Deprec'!F28</f>
        <v>0</v>
      </c>
      <c r="I71" s="90">
        <f>$G71*'Break-down of IGS and Deprec'!G28</f>
        <v>0</v>
      </c>
      <c r="J71" s="90">
        <f>$G71*'Break-down of IGS and Deprec'!H28</f>
        <v>0</v>
      </c>
      <c r="K71" s="90">
        <f>$G71*'Break-down of IGS and Deprec'!I28</f>
        <v>0</v>
      </c>
      <c r="L71" s="90">
        <f>$G71*'Break-down of IGS and Deprec'!J28</f>
        <v>0</v>
      </c>
      <c r="M71" s="90">
        <f>$G71*'Break-down of IGS and Deprec'!K28</f>
        <v>0</v>
      </c>
      <c r="N71" s="90">
        <f>$G71*'Break-down of IGS and Deprec'!L28</f>
        <v>0</v>
      </c>
      <c r="O71" s="90">
        <f>$G71*'Break-down of IGS and Deprec'!M28</f>
        <v>0</v>
      </c>
    </row>
    <row r="72" spans="2:16" x14ac:dyDescent="0.25">
      <c r="C72" s="36" t="s">
        <v>22</v>
      </c>
      <c r="G72" s="90">
        <f t="shared" si="7"/>
        <v>0</v>
      </c>
      <c r="H72" s="90">
        <f>$G72*'Break-down of IGS and Deprec'!F28</f>
        <v>0</v>
      </c>
      <c r="I72" s="90">
        <f>$G72*'Break-down of IGS and Deprec'!G28</f>
        <v>0</v>
      </c>
      <c r="J72" s="90">
        <f>$G72*'Break-down of IGS and Deprec'!H28</f>
        <v>0</v>
      </c>
      <c r="K72" s="90">
        <f>$G72*'Break-down of IGS and Deprec'!I28</f>
        <v>0</v>
      </c>
      <c r="L72" s="90">
        <f>$G72*'Break-down of IGS and Deprec'!J28</f>
        <v>0</v>
      </c>
      <c r="M72" s="90">
        <f>$G72*'Break-down of IGS and Deprec'!K28</f>
        <v>0</v>
      </c>
      <c r="N72" s="90">
        <f>$G72*'Break-down of IGS and Deprec'!L28</f>
        <v>0</v>
      </c>
      <c r="O72" s="90">
        <f>$G72*'Break-down of IGS and Deprec'!M28</f>
        <v>0</v>
      </c>
    </row>
    <row r="73" spans="2:16" x14ac:dyDescent="0.25">
      <c r="C73" s="36" t="s">
        <v>55</v>
      </c>
      <c r="G73" s="90">
        <f t="shared" si="7"/>
        <v>0</v>
      </c>
      <c r="H73" s="90">
        <f>$G73*'Break-down of IGS and Deprec'!F28</f>
        <v>0</v>
      </c>
      <c r="I73" s="90">
        <f>$G73*'Break-down of IGS and Deprec'!G28</f>
        <v>0</v>
      </c>
      <c r="J73" s="90">
        <f>$G73*'Break-down of IGS and Deprec'!H28</f>
        <v>0</v>
      </c>
      <c r="K73" s="90">
        <f>$G73*'Break-down of IGS and Deprec'!I28</f>
        <v>0</v>
      </c>
      <c r="L73" s="90">
        <f>$G73*'Break-down of IGS and Deprec'!J28</f>
        <v>0</v>
      </c>
      <c r="M73" s="90">
        <f>$G73*'Break-down of IGS and Deprec'!K28</f>
        <v>0</v>
      </c>
      <c r="N73" s="90">
        <f>$G73*'Break-down of IGS and Deprec'!L28</f>
        <v>0</v>
      </c>
      <c r="O73" s="90">
        <f>$G73*'Break-down of IGS and Deprec'!M28</f>
        <v>0</v>
      </c>
    </row>
    <row r="74" spans="2:16" x14ac:dyDescent="0.25">
      <c r="C74" s="36" t="s">
        <v>23</v>
      </c>
      <c r="G74" s="90">
        <f t="shared" si="7"/>
        <v>457</v>
      </c>
      <c r="H74" s="90">
        <f>$G74*'Break-down of IGS and Deprec'!F33</f>
        <v>124.96664999999999</v>
      </c>
      <c r="I74" s="90">
        <f>$G74*'Break-down of IGS and Deprec'!G33</f>
        <v>9.14</v>
      </c>
      <c r="J74" s="90">
        <f>$G74*'Break-down of IGS and Deprec'!H33</f>
        <v>0</v>
      </c>
      <c r="K74" s="90">
        <f>$G74*'Break-down of IGS and Deprec'!I33</f>
        <v>134.815</v>
      </c>
      <c r="L74" s="90">
        <f>$G74*'Break-down of IGS and Deprec'!J33</f>
        <v>15.423750000000002</v>
      </c>
      <c r="M74" s="90">
        <f>$G74*'Break-down of IGS and Deprec'!K33</f>
        <v>25.980450000000001</v>
      </c>
      <c r="N74" s="90">
        <f>$G74*'Break-down of IGS and Deprec'!L33</f>
        <v>0</v>
      </c>
      <c r="O74" s="90">
        <f>$G74*'Break-down of IGS and Deprec'!M33</f>
        <v>146.67415</v>
      </c>
    </row>
    <row r="75" spans="2:16" x14ac:dyDescent="0.25">
      <c r="C75" s="36" t="s">
        <v>24</v>
      </c>
      <c r="G75" s="90">
        <f t="shared" si="7"/>
        <v>0</v>
      </c>
      <c r="H75" s="90">
        <f>$G75*'Break-down of IGS and Deprec'!F28</f>
        <v>0</v>
      </c>
      <c r="I75" s="90">
        <f>$G75*'Break-down of IGS and Deprec'!G28</f>
        <v>0</v>
      </c>
      <c r="J75" s="90">
        <f>$G75*'Break-down of IGS and Deprec'!H28</f>
        <v>0</v>
      </c>
      <c r="K75" s="90">
        <f>$G75*'Break-down of IGS and Deprec'!I28</f>
        <v>0</v>
      </c>
      <c r="L75" s="90">
        <f>$G75*'Break-down of IGS and Deprec'!J28</f>
        <v>0</v>
      </c>
      <c r="M75" s="90">
        <f>$G75*'Break-down of IGS and Deprec'!K28</f>
        <v>0</v>
      </c>
      <c r="N75" s="90">
        <f>$G75*'Break-down of IGS and Deprec'!L28</f>
        <v>0</v>
      </c>
      <c r="O75" s="90">
        <f>$G75*'Break-down of IGS and Deprec'!M28</f>
        <v>0</v>
      </c>
    </row>
    <row r="76" spans="2:16" x14ac:dyDescent="0.25">
      <c r="C76" s="36" t="s">
        <v>25</v>
      </c>
      <c r="G76" s="90">
        <f t="shared" si="7"/>
        <v>0</v>
      </c>
      <c r="H76" s="90">
        <f>$G76*'Break-down of IGS and Deprec'!F30</f>
        <v>0</v>
      </c>
      <c r="I76" s="90">
        <f>$G76*'Break-down of IGS and Deprec'!G30</f>
        <v>0</v>
      </c>
      <c r="J76" s="90">
        <f>$G76*'Break-down of IGS and Deprec'!H30</f>
        <v>0</v>
      </c>
      <c r="K76" s="90">
        <f>$G76*'Break-down of IGS and Deprec'!I30</f>
        <v>0</v>
      </c>
      <c r="L76" s="90">
        <f>$G76*'Break-down of IGS and Deprec'!J30</f>
        <v>0</v>
      </c>
      <c r="M76" s="90">
        <f>$G76*'Break-down of IGS and Deprec'!K30</f>
        <v>0</v>
      </c>
      <c r="N76" s="90">
        <f>$G76*'Break-down of IGS and Deprec'!L30</f>
        <v>0</v>
      </c>
      <c r="O76" s="90">
        <f>$G76*'Break-down of IGS and Deprec'!M30</f>
        <v>0</v>
      </c>
    </row>
    <row r="77" spans="2:16" x14ac:dyDescent="0.25">
      <c r="C77" s="36" t="s">
        <v>56</v>
      </c>
      <c r="G77" s="90">
        <f t="shared" si="7"/>
        <v>0</v>
      </c>
      <c r="H77" s="92" t="s">
        <v>134</v>
      </c>
      <c r="I77" s="92" t="s">
        <v>134</v>
      </c>
      <c r="J77" s="92" t="s">
        <v>134</v>
      </c>
      <c r="K77" s="92" t="s">
        <v>134</v>
      </c>
      <c r="L77" s="92" t="s">
        <v>134</v>
      </c>
      <c r="M77" s="92" t="s">
        <v>134</v>
      </c>
      <c r="N77" s="92" t="s">
        <v>134</v>
      </c>
      <c r="O77" s="92" t="s">
        <v>134</v>
      </c>
    </row>
    <row r="78" spans="2:16" x14ac:dyDescent="0.25">
      <c r="C78" s="36" t="s">
        <v>57</v>
      </c>
      <c r="G78" s="90">
        <f t="shared" si="7"/>
        <v>0</v>
      </c>
      <c r="H78" s="92" t="s">
        <v>134</v>
      </c>
      <c r="I78" s="92" t="s">
        <v>134</v>
      </c>
      <c r="J78" s="92" t="s">
        <v>134</v>
      </c>
      <c r="K78" s="92" t="s">
        <v>134</v>
      </c>
      <c r="L78" s="92" t="s">
        <v>134</v>
      </c>
      <c r="M78" s="92" t="s">
        <v>134</v>
      </c>
      <c r="N78" s="92" t="s">
        <v>134</v>
      </c>
      <c r="O78" s="92" t="s">
        <v>134</v>
      </c>
    </row>
    <row r="79" spans="2:16" x14ac:dyDescent="0.25">
      <c r="C79" s="7" t="s">
        <v>135</v>
      </c>
      <c r="D79" s="7"/>
      <c r="E79" s="7"/>
      <c r="F79" s="7"/>
      <c r="G79" s="90">
        <f t="shared" si="7"/>
        <v>735</v>
      </c>
      <c r="H79" s="90">
        <f>SUM(H65:H78)</f>
        <v>163.76664999999997</v>
      </c>
      <c r="I79" s="90">
        <f t="shared" ref="I79:O79" si="8">SUM(I65:I78)</f>
        <v>24.34</v>
      </c>
      <c r="J79" s="90">
        <f t="shared" si="8"/>
        <v>10</v>
      </c>
      <c r="K79" s="90">
        <f t="shared" si="8"/>
        <v>284.63499999999999</v>
      </c>
      <c r="L79" s="90">
        <f t="shared" si="8"/>
        <v>21.423750000000002</v>
      </c>
      <c r="M79" s="90">
        <f t="shared" si="8"/>
        <v>27.18045</v>
      </c>
      <c r="N79" s="90">
        <f t="shared" si="8"/>
        <v>0</v>
      </c>
      <c r="O79" s="90">
        <f t="shared" si="8"/>
        <v>203.65415000000002</v>
      </c>
      <c r="P79" s="58"/>
    </row>
    <row r="80" spans="2:16" x14ac:dyDescent="0.25">
      <c r="B80" s="7" t="s">
        <v>49</v>
      </c>
      <c r="G80" s="90"/>
      <c r="H80" s="90"/>
      <c r="I80" s="90"/>
      <c r="J80" s="90"/>
      <c r="K80" s="90"/>
      <c r="L80" s="90"/>
      <c r="M80" s="90"/>
      <c r="N80" s="90"/>
      <c r="O80" s="90"/>
    </row>
    <row r="81" spans="2:17" x14ac:dyDescent="0.25">
      <c r="C81" s="36" t="s">
        <v>50</v>
      </c>
      <c r="G81" s="90">
        <f>G55</f>
        <v>0</v>
      </c>
      <c r="H81" s="90">
        <f>$G81*'Break-down of IGS and Deprec'!H90</f>
        <v>0</v>
      </c>
      <c r="I81" s="90">
        <f>$G81*'Break-down of IGS and Deprec'!I90</f>
        <v>0</v>
      </c>
      <c r="J81" s="90">
        <f>$G81*'Break-down of IGS and Deprec'!J90</f>
        <v>0</v>
      </c>
      <c r="K81" s="90">
        <f>$G81*'Break-down of IGS and Deprec'!K90</f>
        <v>0</v>
      </c>
      <c r="L81" s="90">
        <f>$G81*'Break-down of IGS and Deprec'!L90</f>
        <v>0</v>
      </c>
      <c r="M81" s="90">
        <f>$G81*'Break-down of IGS and Deprec'!M90</f>
        <v>0</v>
      </c>
      <c r="N81" s="90">
        <f>$G81*'Break-down of IGS and Deprec'!N90</f>
        <v>0</v>
      </c>
      <c r="O81" s="90">
        <f>$G81*'Break-down of IGS and Deprec'!O90</f>
        <v>0</v>
      </c>
    </row>
    <row r="82" spans="2:17" x14ac:dyDescent="0.25">
      <c r="C82" s="36" t="s">
        <v>51</v>
      </c>
      <c r="G82" s="90">
        <f>G56</f>
        <v>0</v>
      </c>
      <c r="H82" s="90">
        <f>$G82*'Break-down of IGS and Deprec'!H92</f>
        <v>0</v>
      </c>
      <c r="I82" s="90">
        <f>$G82*'Break-down of IGS and Deprec'!I92</f>
        <v>0</v>
      </c>
      <c r="J82" s="90">
        <f>$G82*'Break-down of IGS and Deprec'!J92</f>
        <v>0</v>
      </c>
      <c r="K82" s="90">
        <f>$G82*'Break-down of IGS and Deprec'!K92</f>
        <v>0</v>
      </c>
      <c r="L82" s="90">
        <f>$G82*'Break-down of IGS and Deprec'!L92</f>
        <v>0</v>
      </c>
      <c r="M82" s="90">
        <f>$G82*'Break-down of IGS and Deprec'!M92</f>
        <v>0</v>
      </c>
      <c r="N82" s="90">
        <f>$G82*'Break-down of IGS and Deprec'!N92</f>
        <v>0</v>
      </c>
      <c r="O82" s="90">
        <f>$G82*'Break-down of IGS and Deprec'!O92</f>
        <v>0</v>
      </c>
    </row>
    <row r="83" spans="2:17" x14ac:dyDescent="0.25">
      <c r="C83" s="36" t="s">
        <v>26</v>
      </c>
      <c r="G83" s="90">
        <f>G57</f>
        <v>0</v>
      </c>
      <c r="H83" s="90">
        <f>$G83*'Break-down of IGS and Deprec'!H93</f>
        <v>0</v>
      </c>
      <c r="I83" s="90">
        <f>$G83*'Break-down of IGS and Deprec'!I93</f>
        <v>0</v>
      </c>
      <c r="J83" s="90">
        <f>$G83*'Break-down of IGS and Deprec'!J93</f>
        <v>0</v>
      </c>
      <c r="K83" s="90">
        <f>$G83*'Break-down of IGS and Deprec'!K93</f>
        <v>0</v>
      </c>
      <c r="L83" s="90">
        <f>$G83*'Break-down of IGS and Deprec'!L93</f>
        <v>0</v>
      </c>
      <c r="M83" s="90">
        <f>$G83*'Break-down of IGS and Deprec'!M93</f>
        <v>0</v>
      </c>
      <c r="N83" s="90">
        <f>$G83*'Break-down of IGS and Deprec'!N93</f>
        <v>0</v>
      </c>
      <c r="O83" s="90">
        <f>$G83*'Break-down of IGS and Deprec'!O93</f>
        <v>0</v>
      </c>
    </row>
    <row r="84" spans="2:17" x14ac:dyDescent="0.25">
      <c r="B84" s="7"/>
      <c r="C84" s="7" t="s">
        <v>137</v>
      </c>
      <c r="D84" s="7"/>
      <c r="G84" s="90">
        <f>G58</f>
        <v>0</v>
      </c>
      <c r="H84" s="90">
        <f>SUM(H81:H83)</f>
        <v>0</v>
      </c>
      <c r="I84" s="90">
        <f t="shared" ref="I84:O84" si="9">SUM(I81:I83)</f>
        <v>0</v>
      </c>
      <c r="J84" s="90">
        <f t="shared" si="9"/>
        <v>0</v>
      </c>
      <c r="K84" s="90">
        <f t="shared" si="9"/>
        <v>0</v>
      </c>
      <c r="L84" s="90">
        <f t="shared" si="9"/>
        <v>0</v>
      </c>
      <c r="M84" s="90">
        <f t="shared" si="9"/>
        <v>0</v>
      </c>
      <c r="N84" s="90">
        <f t="shared" si="9"/>
        <v>0</v>
      </c>
      <c r="O84" s="90">
        <f t="shared" si="9"/>
        <v>0</v>
      </c>
    </row>
    <row r="85" spans="2:17" x14ac:dyDescent="0.25">
      <c r="B85" s="7"/>
      <c r="C85" s="7"/>
      <c r="D85" s="7"/>
      <c r="H85" s="60" t="s">
        <v>64</v>
      </c>
      <c r="I85" s="60" t="s">
        <v>64</v>
      </c>
      <c r="J85" s="60"/>
      <c r="K85" s="60"/>
      <c r="L85" s="60"/>
      <c r="M85" s="60"/>
      <c r="N85" s="60"/>
      <c r="O85" s="60"/>
    </row>
    <row r="86" spans="2:17" x14ac:dyDescent="0.25">
      <c r="H86" s="60" t="s">
        <v>65</v>
      </c>
      <c r="I86" s="60" t="s">
        <v>66</v>
      </c>
      <c r="J86" s="61" t="s">
        <v>67</v>
      </c>
      <c r="K86" s="61" t="s">
        <v>68</v>
      </c>
      <c r="L86" s="61" t="s">
        <v>45</v>
      </c>
      <c r="M86" s="61" t="s">
        <v>69</v>
      </c>
      <c r="N86" s="61" t="s">
        <v>47</v>
      </c>
      <c r="O86" s="61" t="s">
        <v>70</v>
      </c>
    </row>
    <row r="87" spans="2:17" x14ac:dyDescent="0.25">
      <c r="B87" s="25" t="s">
        <v>291</v>
      </c>
      <c r="C87" s="25"/>
      <c r="D87" s="25"/>
      <c r="E87" s="25"/>
      <c r="F87" s="25"/>
      <c r="G87" s="36" t="s">
        <v>62</v>
      </c>
      <c r="H87" s="104">
        <f t="shared" ref="H87:O87" si="10">H79+H84</f>
        <v>163.76664999999997</v>
      </c>
      <c r="I87" s="104">
        <f t="shared" si="10"/>
        <v>24.34</v>
      </c>
      <c r="J87" s="104">
        <f t="shared" si="10"/>
        <v>10</v>
      </c>
      <c r="K87" s="104">
        <f t="shared" si="10"/>
        <v>284.63499999999999</v>
      </c>
      <c r="L87" s="104">
        <f t="shared" si="10"/>
        <v>21.423750000000002</v>
      </c>
      <c r="M87" s="104">
        <f t="shared" si="10"/>
        <v>27.18045</v>
      </c>
      <c r="N87" s="104">
        <f t="shared" si="10"/>
        <v>0</v>
      </c>
      <c r="O87" s="104">
        <f t="shared" si="10"/>
        <v>203.65415000000002</v>
      </c>
      <c r="P87" s="58"/>
    </row>
    <row r="88" spans="2:17" x14ac:dyDescent="0.25">
      <c r="B88" s="25"/>
      <c r="C88" s="25"/>
      <c r="D88" s="25"/>
      <c r="E88" s="25"/>
      <c r="F88" s="25"/>
      <c r="H88" s="104"/>
      <c r="I88" s="104"/>
      <c r="J88" s="104"/>
      <c r="K88" s="104"/>
      <c r="L88" s="104"/>
      <c r="M88" s="104"/>
      <c r="N88" s="104"/>
      <c r="O88" s="104"/>
    </row>
    <row r="89" spans="2:17" x14ac:dyDescent="0.25">
      <c r="B89" s="25"/>
      <c r="C89" s="25"/>
      <c r="D89" s="25"/>
      <c r="E89" s="25"/>
      <c r="F89" s="25"/>
      <c r="H89" s="105" t="s">
        <v>64</v>
      </c>
      <c r="I89" s="105" t="s">
        <v>64</v>
      </c>
      <c r="J89" s="105"/>
      <c r="K89" s="105"/>
      <c r="L89" s="105"/>
      <c r="M89" s="105"/>
      <c r="N89" s="105"/>
      <c r="O89" s="105"/>
    </row>
    <row r="90" spans="2:17" x14ac:dyDescent="0.25">
      <c r="B90" s="26"/>
      <c r="C90" s="26"/>
      <c r="D90" s="26"/>
      <c r="E90" s="26"/>
      <c r="F90" s="26"/>
      <c r="H90" s="105" t="s">
        <v>65</v>
      </c>
      <c r="I90" s="105" t="s">
        <v>66</v>
      </c>
      <c r="J90" s="106" t="s">
        <v>67</v>
      </c>
      <c r="K90" s="106" t="s">
        <v>68</v>
      </c>
      <c r="L90" s="106" t="s">
        <v>45</v>
      </c>
      <c r="M90" s="106" t="s">
        <v>69</v>
      </c>
      <c r="N90" s="106" t="s">
        <v>47</v>
      </c>
      <c r="O90" s="106" t="s">
        <v>138</v>
      </c>
    </row>
    <row r="91" spans="2:17" x14ac:dyDescent="0.25">
      <c r="B91" s="25" t="s">
        <v>292</v>
      </c>
      <c r="C91" s="25"/>
      <c r="D91" s="25"/>
      <c r="E91" s="25"/>
      <c r="F91" s="25"/>
      <c r="G91" s="36" t="s">
        <v>62</v>
      </c>
      <c r="H91" s="104">
        <f>H87</f>
        <v>163.76664999999997</v>
      </c>
      <c r="I91" s="104">
        <f>I87</f>
        <v>24.34</v>
      </c>
      <c r="J91" s="104">
        <f>G33+J87</f>
        <v>110</v>
      </c>
      <c r="K91" s="104">
        <f>G49+K87</f>
        <v>1574.635</v>
      </c>
      <c r="L91" s="104">
        <f>G50+L87</f>
        <v>21.423750000000002</v>
      </c>
      <c r="M91" s="104">
        <f>G51+M87</f>
        <v>27.18045</v>
      </c>
      <c r="N91" s="104">
        <f>G52+N87</f>
        <v>0</v>
      </c>
      <c r="O91" s="104">
        <f>G59+O87</f>
        <v>-1.3458499999999844</v>
      </c>
      <c r="Q91" s="58"/>
    </row>
    <row r="92" spans="2:17" x14ac:dyDescent="0.25">
      <c r="L92" s="58"/>
    </row>
    <row r="93" spans="2:17" x14ac:dyDescent="0.25">
      <c r="B93" s="46" t="str">
        <f>H5</f>
        <v>Option 2:</v>
      </c>
      <c r="C93" s="44" t="str">
        <f>H6</f>
        <v>Achievable</v>
      </c>
      <c r="D93" s="44" t="str">
        <f>H7</f>
        <v>farm</v>
      </c>
      <c r="E93" s="45" t="str">
        <f>H8</f>
        <v>Smallholder</v>
      </c>
      <c r="F93" s="7" t="s">
        <v>136</v>
      </c>
      <c r="G93" s="104"/>
      <c r="H93" s="105" t="s">
        <v>64</v>
      </c>
      <c r="I93" s="105" t="s">
        <v>64</v>
      </c>
      <c r="J93" s="105"/>
      <c r="K93" s="105"/>
      <c r="L93" s="105"/>
      <c r="M93" s="105"/>
      <c r="N93" s="105"/>
      <c r="O93" s="105"/>
    </row>
    <row r="94" spans="2:17" x14ac:dyDescent="0.25">
      <c r="B94" s="7" t="s">
        <v>132</v>
      </c>
      <c r="C94" s="7"/>
      <c r="D94" s="7"/>
      <c r="E94" s="7"/>
      <c r="G94" s="90" t="s">
        <v>133</v>
      </c>
      <c r="H94" s="105" t="s">
        <v>65</v>
      </c>
      <c r="I94" s="105" t="s">
        <v>66</v>
      </c>
      <c r="J94" s="105" t="s">
        <v>67</v>
      </c>
      <c r="K94" s="105" t="s">
        <v>68</v>
      </c>
      <c r="L94" s="105" t="s">
        <v>45</v>
      </c>
      <c r="M94" s="105" t="s">
        <v>69</v>
      </c>
      <c r="N94" s="105" t="s">
        <v>47</v>
      </c>
      <c r="O94" s="105" t="s">
        <v>70</v>
      </c>
    </row>
    <row r="95" spans="2:17" x14ac:dyDescent="0.25">
      <c r="C95" s="36" t="s">
        <v>15</v>
      </c>
      <c r="G95" s="90">
        <f t="shared" ref="G95:G108" si="11">H17</f>
        <v>20</v>
      </c>
      <c r="H95" s="90">
        <f>$G95*'Break-down of IGS and Deprec'!F23</f>
        <v>0</v>
      </c>
      <c r="I95" s="90">
        <f>$G95*'Break-down of IGS and Deprec'!G23</f>
        <v>12</v>
      </c>
      <c r="J95" s="90">
        <f>$G95*'Break-down of IGS and Deprec'!H23</f>
        <v>0</v>
      </c>
      <c r="K95" s="90">
        <f>$G95*'Break-down of IGS and Deprec'!I23</f>
        <v>2.5</v>
      </c>
      <c r="L95" s="90">
        <f>$G95*'Break-down of IGS and Deprec'!J23</f>
        <v>0</v>
      </c>
      <c r="M95" s="90">
        <f>$G95*'Break-down of IGS and Deprec'!K23</f>
        <v>0</v>
      </c>
      <c r="N95" s="90">
        <f>$G95*'Break-down of IGS and Deprec'!L23</f>
        <v>0</v>
      </c>
      <c r="O95" s="90">
        <f>$G95*'Break-down of IGS and Deprec'!M23</f>
        <v>5.5</v>
      </c>
    </row>
    <row r="96" spans="2:17" x14ac:dyDescent="0.25">
      <c r="C96" s="36" t="s">
        <v>16</v>
      </c>
      <c r="G96" s="90">
        <f t="shared" si="11"/>
        <v>50</v>
      </c>
      <c r="H96" s="90">
        <f>$G96*'Break-down of IGS and Deprec'!F24</f>
        <v>12.8</v>
      </c>
      <c r="I96" s="90">
        <f>$G96*'Break-down of IGS and Deprec'!G24</f>
        <v>0</v>
      </c>
      <c r="J96" s="90">
        <f>$G96*'Break-down of IGS and Deprec'!H24</f>
        <v>0</v>
      </c>
      <c r="K96" s="90">
        <f>$G96*'Break-down of IGS and Deprec'!I24</f>
        <v>17</v>
      </c>
      <c r="L96" s="90">
        <f>$G96*'Break-down of IGS and Deprec'!J24</f>
        <v>0</v>
      </c>
      <c r="M96" s="90">
        <f>$G96*'Break-down of IGS and Deprec'!K24</f>
        <v>1.2</v>
      </c>
      <c r="N96" s="90">
        <f>$G96*'Break-down of IGS and Deprec'!L24</f>
        <v>0</v>
      </c>
      <c r="O96" s="90">
        <f>$G96*'Break-down of IGS and Deprec'!M24</f>
        <v>19.000000000000004</v>
      </c>
    </row>
    <row r="97" spans="2:16" x14ac:dyDescent="0.25">
      <c r="C97" s="36" t="s">
        <v>17</v>
      </c>
      <c r="G97" s="90">
        <f t="shared" si="11"/>
        <v>160</v>
      </c>
      <c r="H97" s="90">
        <f>$G97*'Break-down of IGS and Deprec'!F25</f>
        <v>0</v>
      </c>
      <c r="I97" s="90">
        <f>$G97*'Break-down of IGS and Deprec'!G25</f>
        <v>3.2</v>
      </c>
      <c r="J97" s="90">
        <f>$G97*'Break-down of IGS and Deprec'!H25</f>
        <v>10</v>
      </c>
      <c r="K97" s="90">
        <f>$G97*'Break-down of IGS and Deprec'!I25</f>
        <v>129</v>
      </c>
      <c r="L97" s="90">
        <f>$G97*'Break-down of IGS and Deprec'!J25</f>
        <v>0</v>
      </c>
      <c r="M97" s="90">
        <f>$G97*'Break-down of IGS and Deprec'!K25</f>
        <v>0</v>
      </c>
      <c r="N97" s="90">
        <f>$G97*'Break-down of IGS and Deprec'!L25</f>
        <v>0</v>
      </c>
      <c r="O97" s="90">
        <f>$G97*'Break-down of IGS and Deprec'!M25</f>
        <v>17.800000000000011</v>
      </c>
    </row>
    <row r="98" spans="2:16" x14ac:dyDescent="0.25">
      <c r="C98" s="36" t="s">
        <v>18</v>
      </c>
      <c r="G98" s="90">
        <f t="shared" si="11"/>
        <v>0</v>
      </c>
      <c r="H98" s="90">
        <f>$G98*'Break-down of IGS and Deprec'!F26</f>
        <v>0</v>
      </c>
      <c r="I98" s="90">
        <f>$G98*'Break-down of IGS and Deprec'!G26</f>
        <v>0</v>
      </c>
      <c r="J98" s="90">
        <f>$G98*'Break-down of IGS and Deprec'!H26</f>
        <v>0</v>
      </c>
      <c r="K98" s="90">
        <f>$G98*'Break-down of IGS and Deprec'!I26</f>
        <v>0</v>
      </c>
      <c r="L98" s="90">
        <f>$G98*'Break-down of IGS and Deprec'!J26</f>
        <v>0</v>
      </c>
      <c r="M98" s="90">
        <f>$G98*'Break-down of IGS and Deprec'!K26</f>
        <v>0</v>
      </c>
      <c r="N98" s="90">
        <f>$G98*'Break-down of IGS and Deprec'!L26</f>
        <v>0</v>
      </c>
      <c r="O98" s="90">
        <f>$G98*'Break-down of IGS and Deprec'!M26</f>
        <v>0</v>
      </c>
    </row>
    <row r="99" spans="2:16" x14ac:dyDescent="0.25">
      <c r="C99" s="36" t="s">
        <v>19</v>
      </c>
      <c r="G99" s="90">
        <f t="shared" si="11"/>
        <v>0</v>
      </c>
      <c r="H99" s="90">
        <f>$G99*'Break-down of IGS and Deprec'!F26</f>
        <v>0</v>
      </c>
      <c r="I99" s="90">
        <f>$G99*'Break-down of IGS and Deprec'!G26</f>
        <v>0</v>
      </c>
      <c r="J99" s="90">
        <f>$G99*'Break-down of IGS and Deprec'!H26</f>
        <v>0</v>
      </c>
      <c r="K99" s="90">
        <f>$G99*'Break-down of IGS and Deprec'!I26</f>
        <v>0</v>
      </c>
      <c r="L99" s="90">
        <f>$G99*'Break-down of IGS and Deprec'!J26</f>
        <v>0</v>
      </c>
      <c r="M99" s="90">
        <f>$G99*'Break-down of IGS and Deprec'!K26</f>
        <v>0</v>
      </c>
      <c r="N99" s="90">
        <f>$G99*'Break-down of IGS and Deprec'!L26</f>
        <v>0</v>
      </c>
      <c r="O99" s="90">
        <f>$G99*'Break-down of IGS and Deprec'!M26</f>
        <v>0</v>
      </c>
    </row>
    <row r="100" spans="2:16" x14ac:dyDescent="0.25">
      <c r="C100" s="36" t="s">
        <v>20</v>
      </c>
      <c r="G100" s="90">
        <f t="shared" si="11"/>
        <v>48</v>
      </c>
      <c r="H100" s="90">
        <f>$G100*'Break-down of IGS and Deprec'!F27</f>
        <v>26</v>
      </c>
      <c r="I100" s="90">
        <f>$G100*'Break-down of IGS and Deprec'!G27</f>
        <v>0</v>
      </c>
      <c r="J100" s="90">
        <f>$G100*'Break-down of IGS and Deprec'!H27</f>
        <v>0</v>
      </c>
      <c r="K100" s="90">
        <f>$G100*'Break-down of IGS and Deprec'!I27</f>
        <v>1.32</v>
      </c>
      <c r="L100" s="90">
        <f>$G100*'Break-down of IGS and Deprec'!J27</f>
        <v>6</v>
      </c>
      <c r="M100" s="90">
        <f>$G100*'Break-down of IGS and Deprec'!K27</f>
        <v>0</v>
      </c>
      <c r="N100" s="90">
        <f>$G100*'Break-down of IGS and Deprec'!L27</f>
        <v>0</v>
      </c>
      <c r="O100" s="90">
        <f>$G100*'Break-down of IGS and Deprec'!M27</f>
        <v>14.68</v>
      </c>
    </row>
    <row r="101" spans="2:16" x14ac:dyDescent="0.25">
      <c r="C101" s="36" t="s">
        <v>21</v>
      </c>
      <c r="G101" s="90">
        <f t="shared" si="11"/>
        <v>0</v>
      </c>
      <c r="H101" s="90">
        <f>$G101*'Break-down of IGS and Deprec'!F28</f>
        <v>0</v>
      </c>
      <c r="I101" s="90">
        <f>$G101*'Break-down of IGS and Deprec'!G28</f>
        <v>0</v>
      </c>
      <c r="J101" s="90">
        <f>$G101*'Break-down of IGS and Deprec'!H28</f>
        <v>0</v>
      </c>
      <c r="K101" s="90">
        <f>$G101*'Break-down of IGS and Deprec'!I28</f>
        <v>0</v>
      </c>
      <c r="L101" s="90">
        <f>$G101*'Break-down of IGS and Deprec'!J28</f>
        <v>0</v>
      </c>
      <c r="M101" s="90">
        <f>$G101*'Break-down of IGS and Deprec'!K28</f>
        <v>0</v>
      </c>
      <c r="N101" s="90">
        <f>$G101*'Break-down of IGS and Deprec'!L28</f>
        <v>0</v>
      </c>
      <c r="O101" s="90">
        <f>$G101*'Break-down of IGS and Deprec'!M28</f>
        <v>0</v>
      </c>
    </row>
    <row r="102" spans="2:16" x14ac:dyDescent="0.25">
      <c r="C102" s="36" t="s">
        <v>22</v>
      </c>
      <c r="G102" s="90">
        <f t="shared" si="11"/>
        <v>0</v>
      </c>
      <c r="H102" s="90">
        <f>$G102*'Break-down of IGS and Deprec'!F28</f>
        <v>0</v>
      </c>
      <c r="I102" s="90">
        <f>$G102*'Break-down of IGS and Deprec'!G28</f>
        <v>0</v>
      </c>
      <c r="J102" s="90">
        <f>$G102*'Break-down of IGS and Deprec'!H28</f>
        <v>0</v>
      </c>
      <c r="K102" s="90">
        <f>$G102*'Break-down of IGS and Deprec'!I28</f>
        <v>0</v>
      </c>
      <c r="L102" s="90">
        <f>$G102*'Break-down of IGS and Deprec'!J28</f>
        <v>0</v>
      </c>
      <c r="M102" s="90">
        <f>$G102*'Break-down of IGS and Deprec'!K28</f>
        <v>0</v>
      </c>
      <c r="N102" s="90">
        <f>$G102*'Break-down of IGS and Deprec'!L28</f>
        <v>0</v>
      </c>
      <c r="O102" s="90">
        <f>$G102*'Break-down of IGS and Deprec'!M28</f>
        <v>0</v>
      </c>
    </row>
    <row r="103" spans="2:16" x14ac:dyDescent="0.25">
      <c r="C103" s="36" t="s">
        <v>55</v>
      </c>
      <c r="G103" s="90">
        <f t="shared" si="11"/>
        <v>0</v>
      </c>
      <c r="H103" s="90">
        <f>$G103*'Break-down of IGS and Deprec'!F28</f>
        <v>0</v>
      </c>
      <c r="I103" s="90">
        <f>$G103*'Break-down of IGS and Deprec'!G28</f>
        <v>0</v>
      </c>
      <c r="J103" s="90">
        <f>$G103*'Break-down of IGS and Deprec'!H28</f>
        <v>0</v>
      </c>
      <c r="K103" s="90">
        <f>$G103*'Break-down of IGS and Deprec'!I28</f>
        <v>0</v>
      </c>
      <c r="L103" s="90">
        <f>$G103*'Break-down of IGS and Deprec'!J28</f>
        <v>0</v>
      </c>
      <c r="M103" s="90">
        <f>$G103*'Break-down of IGS and Deprec'!K28</f>
        <v>0</v>
      </c>
      <c r="N103" s="90">
        <f>$G103*'Break-down of IGS and Deprec'!L28</f>
        <v>0</v>
      </c>
      <c r="O103" s="90">
        <f>$G103*'Break-down of IGS and Deprec'!M28</f>
        <v>0</v>
      </c>
    </row>
    <row r="104" spans="2:16" x14ac:dyDescent="0.25">
      <c r="C104" s="36" t="s">
        <v>23</v>
      </c>
      <c r="G104" s="90">
        <f t="shared" si="11"/>
        <v>685.5</v>
      </c>
      <c r="H104" s="90">
        <f>$G104*'Break-down of IGS and Deprec'!F33</f>
        <v>187.44997499999997</v>
      </c>
      <c r="I104" s="90">
        <f>$G104*'Break-down of IGS and Deprec'!G33</f>
        <v>13.71</v>
      </c>
      <c r="J104" s="90">
        <f>$G104*'Break-down of IGS and Deprec'!H33</f>
        <v>0</v>
      </c>
      <c r="K104" s="90">
        <f>$G104*'Break-down of IGS and Deprec'!I33</f>
        <v>202.2225</v>
      </c>
      <c r="L104" s="90">
        <f>$G104*'Break-down of IGS and Deprec'!J33</f>
        <v>23.135625000000001</v>
      </c>
      <c r="M104" s="90">
        <f>$G104*'Break-down of IGS and Deprec'!K33</f>
        <v>38.970675</v>
      </c>
      <c r="N104" s="90">
        <f>$G104*'Break-down of IGS and Deprec'!L33</f>
        <v>0</v>
      </c>
      <c r="O104" s="90">
        <f>$G104*'Break-down of IGS and Deprec'!M33</f>
        <v>220.011225</v>
      </c>
      <c r="P104" s="58"/>
    </row>
    <row r="105" spans="2:16" x14ac:dyDescent="0.25">
      <c r="C105" s="36" t="s">
        <v>24</v>
      </c>
      <c r="G105" s="90">
        <f t="shared" si="11"/>
        <v>0</v>
      </c>
      <c r="H105" s="90">
        <f>$G105*'Break-down of IGS and Deprec'!F28</f>
        <v>0</v>
      </c>
      <c r="I105" s="90">
        <f>$G105*'Break-down of IGS and Deprec'!G28</f>
        <v>0</v>
      </c>
      <c r="J105" s="90">
        <f>$G105*'Break-down of IGS and Deprec'!H28</f>
        <v>0</v>
      </c>
      <c r="K105" s="90">
        <f>$G105*'Break-down of IGS and Deprec'!I28</f>
        <v>0</v>
      </c>
      <c r="L105" s="90">
        <f>$G105*'Break-down of IGS and Deprec'!J28</f>
        <v>0</v>
      </c>
      <c r="M105" s="90">
        <f>$G105*'Break-down of IGS and Deprec'!K28</f>
        <v>0</v>
      </c>
      <c r="N105" s="90">
        <f>$G105*'Break-down of IGS and Deprec'!L28</f>
        <v>0</v>
      </c>
      <c r="O105" s="90">
        <f>$G105*'Break-down of IGS and Deprec'!M28</f>
        <v>0</v>
      </c>
    </row>
    <row r="106" spans="2:16" x14ac:dyDescent="0.25">
      <c r="C106" s="36" t="s">
        <v>25</v>
      </c>
      <c r="G106" s="90">
        <f t="shared" si="11"/>
        <v>0</v>
      </c>
      <c r="H106" s="90">
        <f>$G106*'Break-down of IGS and Deprec'!F30</f>
        <v>0</v>
      </c>
      <c r="I106" s="90">
        <f>$G106*'Break-down of IGS and Deprec'!G30</f>
        <v>0</v>
      </c>
      <c r="J106" s="90">
        <f>$G106*'Break-down of IGS and Deprec'!H30</f>
        <v>0</v>
      </c>
      <c r="K106" s="90">
        <f>$G106*'Break-down of IGS and Deprec'!I30</f>
        <v>0</v>
      </c>
      <c r="L106" s="90">
        <f>$G106*'Break-down of IGS and Deprec'!J30</f>
        <v>0</v>
      </c>
      <c r="M106" s="90">
        <f>$G106*'Break-down of IGS and Deprec'!K30</f>
        <v>0</v>
      </c>
      <c r="N106" s="90">
        <f>$G106*'Break-down of IGS and Deprec'!L30</f>
        <v>0</v>
      </c>
      <c r="O106" s="90">
        <f>$G106*'Break-down of IGS and Deprec'!M30</f>
        <v>0</v>
      </c>
    </row>
    <row r="107" spans="2:16" x14ac:dyDescent="0.25">
      <c r="C107" s="36" t="s">
        <v>56</v>
      </c>
      <c r="G107" s="90">
        <f t="shared" si="11"/>
        <v>0</v>
      </c>
      <c r="H107" s="92" t="s">
        <v>134</v>
      </c>
      <c r="I107" s="92" t="s">
        <v>134</v>
      </c>
      <c r="J107" s="92" t="s">
        <v>134</v>
      </c>
      <c r="K107" s="92" t="s">
        <v>134</v>
      </c>
      <c r="L107" s="92" t="s">
        <v>134</v>
      </c>
      <c r="M107" s="92" t="s">
        <v>134</v>
      </c>
      <c r="N107" s="92" t="s">
        <v>134</v>
      </c>
      <c r="O107" s="92" t="s">
        <v>134</v>
      </c>
    </row>
    <row r="108" spans="2:16" x14ac:dyDescent="0.25">
      <c r="C108" s="36" t="s">
        <v>57</v>
      </c>
      <c r="G108" s="90">
        <f t="shared" si="11"/>
        <v>0</v>
      </c>
      <c r="H108" s="92" t="s">
        <v>134</v>
      </c>
      <c r="I108" s="92" t="s">
        <v>134</v>
      </c>
      <c r="J108" s="92" t="s">
        <v>134</v>
      </c>
      <c r="K108" s="92" t="s">
        <v>134</v>
      </c>
      <c r="L108" s="92" t="s">
        <v>134</v>
      </c>
      <c r="M108" s="92" t="s">
        <v>134</v>
      </c>
      <c r="N108" s="92" t="s">
        <v>134</v>
      </c>
      <c r="O108" s="92" t="s">
        <v>134</v>
      </c>
    </row>
    <row r="109" spans="2:16" x14ac:dyDescent="0.25">
      <c r="C109" s="7" t="s">
        <v>135</v>
      </c>
      <c r="D109" s="7"/>
      <c r="E109" s="7"/>
      <c r="F109" s="7"/>
      <c r="G109" s="90">
        <f>SUM(G95:G108)</f>
        <v>963.5</v>
      </c>
      <c r="H109" s="90">
        <f>SUM(H95:H108)</f>
        <v>226.24997499999995</v>
      </c>
      <c r="I109" s="90">
        <f t="shared" ref="I109" si="12">SUM(I95:I108)</f>
        <v>28.91</v>
      </c>
      <c r="J109" s="90">
        <f t="shared" ref="J109" si="13">SUM(J95:J108)</f>
        <v>10</v>
      </c>
      <c r="K109" s="90">
        <f t="shared" ref="K109" si="14">SUM(K95:K108)</f>
        <v>352.04250000000002</v>
      </c>
      <c r="L109" s="90">
        <f t="shared" ref="L109" si="15">SUM(L95:L108)</f>
        <v>29.135625000000001</v>
      </c>
      <c r="M109" s="90">
        <f t="shared" ref="M109" si="16">SUM(M95:M108)</f>
        <v>40.170675000000003</v>
      </c>
      <c r="N109" s="90">
        <f t="shared" ref="N109" si="17">SUM(N95:N108)</f>
        <v>0</v>
      </c>
      <c r="O109" s="90">
        <f t="shared" ref="O109" si="18">SUM(O95:O108)</f>
        <v>276.99122499999999</v>
      </c>
      <c r="P109" s="58"/>
    </row>
    <row r="110" spans="2:16" x14ac:dyDescent="0.25">
      <c r="B110" s="7" t="s">
        <v>49</v>
      </c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2:16" x14ac:dyDescent="0.25">
      <c r="C111" s="36" t="s">
        <v>50</v>
      </c>
      <c r="G111" s="90">
        <f>H55</f>
        <v>0</v>
      </c>
      <c r="H111" s="90">
        <f>$G111*'Break-down of IGS and Deprec'!H90</f>
        <v>0</v>
      </c>
      <c r="I111" s="90">
        <f>$G111*'Break-down of IGS and Deprec'!I90</f>
        <v>0</v>
      </c>
      <c r="J111" s="90">
        <f>$G111*'Break-down of IGS and Deprec'!J90</f>
        <v>0</v>
      </c>
      <c r="K111" s="90">
        <f>$G111*'Break-down of IGS and Deprec'!K90</f>
        <v>0</v>
      </c>
      <c r="L111" s="90">
        <f>$G111*'Break-down of IGS and Deprec'!L90</f>
        <v>0</v>
      </c>
      <c r="M111" s="90">
        <f>$G111*'Break-down of IGS and Deprec'!M90</f>
        <v>0</v>
      </c>
      <c r="N111" s="90">
        <f>$G111*'Break-down of IGS and Deprec'!N90</f>
        <v>0</v>
      </c>
      <c r="O111" s="90">
        <f>$G111*'Break-down of IGS and Deprec'!O90</f>
        <v>0</v>
      </c>
    </row>
    <row r="112" spans="2:16" x14ac:dyDescent="0.25">
      <c r="C112" s="36" t="s">
        <v>51</v>
      </c>
      <c r="G112" s="90">
        <f>H56</f>
        <v>0</v>
      </c>
      <c r="H112" s="90">
        <f>$G112*'Break-down of IGS and Deprec'!H92</f>
        <v>0</v>
      </c>
      <c r="I112" s="90">
        <f>$G112*'Break-down of IGS and Deprec'!I92</f>
        <v>0</v>
      </c>
      <c r="J112" s="90">
        <f>$G112*'Break-down of IGS and Deprec'!J92</f>
        <v>0</v>
      </c>
      <c r="K112" s="90">
        <f>$G112*'Break-down of IGS and Deprec'!K92</f>
        <v>0</v>
      </c>
      <c r="L112" s="90">
        <f>$G112*'Break-down of IGS and Deprec'!L92</f>
        <v>0</v>
      </c>
      <c r="M112" s="90">
        <f>$G112*'Break-down of IGS and Deprec'!M92</f>
        <v>0</v>
      </c>
      <c r="N112" s="90">
        <f>$G112*'Break-down of IGS and Deprec'!N92</f>
        <v>0</v>
      </c>
      <c r="O112" s="90">
        <f>$G112*'Break-down of IGS and Deprec'!O92</f>
        <v>0</v>
      </c>
    </row>
    <row r="113" spans="2:17" x14ac:dyDescent="0.25">
      <c r="C113" s="36" t="s">
        <v>26</v>
      </c>
      <c r="G113" s="90">
        <f>H57</f>
        <v>0</v>
      </c>
      <c r="H113" s="90">
        <f>$G113*'Break-down of IGS and Deprec'!H93</f>
        <v>0</v>
      </c>
      <c r="I113" s="90">
        <f>$G113*'Break-down of IGS and Deprec'!I93</f>
        <v>0</v>
      </c>
      <c r="J113" s="90">
        <f>$G113*'Break-down of IGS and Deprec'!J93</f>
        <v>0</v>
      </c>
      <c r="K113" s="90">
        <f>$G113*'Break-down of IGS and Deprec'!K93</f>
        <v>0</v>
      </c>
      <c r="L113" s="90">
        <f>$G113*'Break-down of IGS and Deprec'!L93</f>
        <v>0</v>
      </c>
      <c r="M113" s="90">
        <f>$G113*'Break-down of IGS and Deprec'!M93</f>
        <v>0</v>
      </c>
      <c r="N113" s="90">
        <f>$G113*'Break-down of IGS and Deprec'!N93</f>
        <v>0</v>
      </c>
      <c r="O113" s="90">
        <f>$G113*'Break-down of IGS and Deprec'!O93</f>
        <v>0</v>
      </c>
    </row>
    <row r="114" spans="2:17" x14ac:dyDescent="0.25">
      <c r="B114" s="7"/>
      <c r="C114" s="7" t="s">
        <v>137</v>
      </c>
      <c r="D114" s="7"/>
      <c r="G114" s="90">
        <f>SUM(G111:G113)</f>
        <v>0</v>
      </c>
      <c r="H114" s="90">
        <f>SUM(H111:H113)</f>
        <v>0</v>
      </c>
      <c r="I114" s="90">
        <f t="shared" ref="I114" si="19">SUM(I111:I113)</f>
        <v>0</v>
      </c>
      <c r="J114" s="90">
        <f t="shared" ref="J114" si="20">SUM(J111:J113)</f>
        <v>0</v>
      </c>
      <c r="K114" s="90">
        <f t="shared" ref="K114" si="21">SUM(K111:K113)</f>
        <v>0</v>
      </c>
      <c r="L114" s="90">
        <f t="shared" ref="L114" si="22">SUM(L111:L113)</f>
        <v>0</v>
      </c>
      <c r="M114" s="90">
        <f t="shared" ref="M114" si="23">SUM(M111:M113)</f>
        <v>0</v>
      </c>
      <c r="N114" s="90">
        <f t="shared" ref="N114" si="24">SUM(N111:N113)</f>
        <v>0</v>
      </c>
      <c r="O114" s="90">
        <f t="shared" ref="O114" si="25">SUM(O111:O113)</f>
        <v>0</v>
      </c>
    </row>
    <row r="115" spans="2:17" x14ac:dyDescent="0.25">
      <c r="B115" s="7"/>
      <c r="C115" s="7"/>
      <c r="D115" s="7"/>
      <c r="G115" s="90"/>
      <c r="H115" s="105" t="s">
        <v>64</v>
      </c>
      <c r="I115" s="105" t="s">
        <v>64</v>
      </c>
      <c r="J115" s="105"/>
      <c r="K115" s="105"/>
      <c r="L115" s="105"/>
      <c r="M115" s="105"/>
      <c r="N115" s="105"/>
      <c r="O115" s="105"/>
    </row>
    <row r="116" spans="2:17" x14ac:dyDescent="0.25">
      <c r="G116" s="90"/>
      <c r="H116" s="105" t="s">
        <v>65</v>
      </c>
      <c r="I116" s="105" t="s">
        <v>66</v>
      </c>
      <c r="J116" s="106" t="s">
        <v>67</v>
      </c>
      <c r="K116" s="106" t="s">
        <v>68</v>
      </c>
      <c r="L116" s="106" t="s">
        <v>45</v>
      </c>
      <c r="M116" s="106" t="s">
        <v>69</v>
      </c>
      <c r="N116" s="106" t="s">
        <v>47</v>
      </c>
      <c r="O116" s="106" t="s">
        <v>70</v>
      </c>
    </row>
    <row r="117" spans="2:17" x14ac:dyDescent="0.25">
      <c r="B117" s="25" t="s">
        <v>297</v>
      </c>
      <c r="C117" s="25"/>
      <c r="D117" s="25"/>
      <c r="E117" s="25"/>
      <c r="F117" s="25"/>
      <c r="G117" s="90" t="s">
        <v>62</v>
      </c>
      <c r="H117" s="104">
        <f t="shared" ref="H117:O117" si="26">H109+H114</f>
        <v>226.24997499999995</v>
      </c>
      <c r="I117" s="104">
        <f t="shared" si="26"/>
        <v>28.91</v>
      </c>
      <c r="J117" s="104">
        <f t="shared" si="26"/>
        <v>10</v>
      </c>
      <c r="K117" s="104">
        <f t="shared" si="26"/>
        <v>352.04250000000002</v>
      </c>
      <c r="L117" s="104">
        <f t="shared" si="26"/>
        <v>29.135625000000001</v>
      </c>
      <c r="M117" s="104">
        <f t="shared" si="26"/>
        <v>40.170675000000003</v>
      </c>
      <c r="N117" s="104">
        <f t="shared" si="26"/>
        <v>0</v>
      </c>
      <c r="O117" s="104">
        <f t="shared" si="26"/>
        <v>276.99122499999999</v>
      </c>
      <c r="P117" s="58"/>
    </row>
    <row r="118" spans="2:17" x14ac:dyDescent="0.25">
      <c r="B118" s="25"/>
      <c r="C118" s="25"/>
      <c r="D118" s="25"/>
      <c r="E118" s="25"/>
      <c r="F118" s="25"/>
      <c r="G118" s="90"/>
      <c r="H118" s="104"/>
      <c r="I118" s="104"/>
      <c r="J118" s="104"/>
      <c r="K118" s="104"/>
      <c r="L118" s="104"/>
      <c r="M118" s="104"/>
      <c r="N118" s="104"/>
      <c r="O118" s="104"/>
    </row>
    <row r="119" spans="2:17" x14ac:dyDescent="0.25">
      <c r="B119" s="25"/>
      <c r="C119" s="25"/>
      <c r="D119" s="25"/>
      <c r="E119" s="25"/>
      <c r="F119" s="25"/>
      <c r="G119" s="90"/>
      <c r="H119" s="105" t="s">
        <v>64</v>
      </c>
      <c r="I119" s="105" t="s">
        <v>64</v>
      </c>
      <c r="J119" s="105"/>
      <c r="K119" s="105"/>
      <c r="L119" s="105"/>
      <c r="M119" s="105"/>
      <c r="N119" s="105"/>
      <c r="O119" s="105"/>
    </row>
    <row r="120" spans="2:17" x14ac:dyDescent="0.25">
      <c r="B120" s="26"/>
      <c r="C120" s="26"/>
      <c r="D120" s="26"/>
      <c r="E120" s="26"/>
      <c r="F120" s="26"/>
      <c r="G120" s="90"/>
      <c r="H120" s="105" t="s">
        <v>65</v>
      </c>
      <c r="I120" s="105" t="s">
        <v>66</v>
      </c>
      <c r="J120" s="106" t="s">
        <v>67</v>
      </c>
      <c r="K120" s="106" t="s">
        <v>68</v>
      </c>
      <c r="L120" s="106" t="s">
        <v>45</v>
      </c>
      <c r="M120" s="106" t="s">
        <v>69</v>
      </c>
      <c r="N120" s="106" t="s">
        <v>47</v>
      </c>
      <c r="O120" s="106" t="s">
        <v>138</v>
      </c>
    </row>
    <row r="121" spans="2:17" x14ac:dyDescent="0.25">
      <c r="B121" s="25" t="s">
        <v>298</v>
      </c>
      <c r="C121" s="25"/>
      <c r="D121" s="25"/>
      <c r="E121" s="25"/>
      <c r="F121" s="25"/>
      <c r="G121" s="90" t="s">
        <v>62</v>
      </c>
      <c r="H121" s="104">
        <f>H117</f>
        <v>226.24997499999995</v>
      </c>
      <c r="I121" s="104">
        <f>I117</f>
        <v>28.91</v>
      </c>
      <c r="J121" s="104">
        <f>H33+J117</f>
        <v>110</v>
      </c>
      <c r="K121" s="104">
        <f>H49+K117</f>
        <v>2057.0425</v>
      </c>
      <c r="L121" s="104">
        <f>H50+L117</f>
        <v>29.135625000000001</v>
      </c>
      <c r="M121" s="104">
        <f>H51+M117</f>
        <v>40.170675000000003</v>
      </c>
      <c r="N121" s="104">
        <f>H52+N117</f>
        <v>0</v>
      </c>
      <c r="O121" s="104">
        <f>H59+O117</f>
        <v>388.49122499999999</v>
      </c>
      <c r="Q121" s="58"/>
    </row>
    <row r="122" spans="2:17" x14ac:dyDescent="0.25"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2:17" x14ac:dyDescent="0.25">
      <c r="B123" s="46" t="str">
        <f>I5</f>
        <v>Option 3:</v>
      </c>
      <c r="C123" s="44" t="str">
        <f>I6</f>
        <v>Current</v>
      </c>
      <c r="D123" s="44" t="str">
        <f>I7</f>
        <v>farm</v>
      </c>
      <c r="E123" s="45" t="str">
        <f>I8</f>
        <v>Comm/large</v>
      </c>
      <c r="F123" s="7" t="s">
        <v>136</v>
      </c>
      <c r="G123" s="104"/>
      <c r="H123" s="105" t="s">
        <v>64</v>
      </c>
      <c r="I123" s="105" t="s">
        <v>64</v>
      </c>
      <c r="J123" s="105"/>
      <c r="K123" s="105"/>
      <c r="L123" s="105"/>
      <c r="M123" s="105"/>
      <c r="N123" s="105"/>
      <c r="O123" s="105"/>
    </row>
    <row r="124" spans="2:17" x14ac:dyDescent="0.25">
      <c r="B124" s="7" t="s">
        <v>132</v>
      </c>
      <c r="C124" s="7"/>
      <c r="D124" s="7"/>
      <c r="E124" s="7"/>
      <c r="G124" s="90" t="s">
        <v>133</v>
      </c>
      <c r="H124" s="105" t="s">
        <v>65</v>
      </c>
      <c r="I124" s="105" t="s">
        <v>66</v>
      </c>
      <c r="J124" s="106" t="s">
        <v>67</v>
      </c>
      <c r="K124" s="106" t="s">
        <v>68</v>
      </c>
      <c r="L124" s="106" t="s">
        <v>45</v>
      </c>
      <c r="M124" s="106" t="s">
        <v>69</v>
      </c>
      <c r="N124" s="106" t="s">
        <v>47</v>
      </c>
      <c r="O124" s="106" t="s">
        <v>70</v>
      </c>
    </row>
    <row r="125" spans="2:17" x14ac:dyDescent="0.25">
      <c r="C125" s="36" t="s">
        <v>15</v>
      </c>
      <c r="G125" s="90">
        <f t="shared" ref="G125:G138" si="27">I17</f>
        <v>20</v>
      </c>
      <c r="H125" s="90">
        <f>$G125*'Break-down of IGS and Deprec'!F23</f>
        <v>0</v>
      </c>
      <c r="I125" s="90">
        <f>$G125*'Break-down of IGS and Deprec'!G23</f>
        <v>12</v>
      </c>
      <c r="J125" s="90">
        <f>$G125*'Break-down of IGS and Deprec'!H23</f>
        <v>0</v>
      </c>
      <c r="K125" s="90">
        <f>$G125*'Break-down of IGS and Deprec'!I23</f>
        <v>2.5</v>
      </c>
      <c r="L125" s="90">
        <f>$G125*'Break-down of IGS and Deprec'!J23</f>
        <v>0</v>
      </c>
      <c r="M125" s="90">
        <f>$G125*'Break-down of IGS and Deprec'!K23</f>
        <v>0</v>
      </c>
      <c r="N125" s="90">
        <f>$G125*'Break-down of IGS and Deprec'!L23</f>
        <v>0</v>
      </c>
      <c r="O125" s="90">
        <f>$G125*'Break-down of IGS and Deprec'!M23</f>
        <v>5.5</v>
      </c>
    </row>
    <row r="126" spans="2:17" x14ac:dyDescent="0.25">
      <c r="C126" s="36" t="s">
        <v>16</v>
      </c>
      <c r="G126" s="90">
        <f t="shared" si="27"/>
        <v>30</v>
      </c>
      <c r="H126" s="90">
        <f>$G126*'Break-down of IGS and Deprec'!F24</f>
        <v>7.68</v>
      </c>
      <c r="I126" s="90">
        <f>$G126*'Break-down of IGS and Deprec'!G24</f>
        <v>0</v>
      </c>
      <c r="J126" s="90">
        <f>$G126*'Break-down of IGS and Deprec'!H24</f>
        <v>0</v>
      </c>
      <c r="K126" s="90">
        <f>$G126*'Break-down of IGS and Deprec'!I24</f>
        <v>10.200000000000001</v>
      </c>
      <c r="L126" s="90">
        <f>$G126*'Break-down of IGS and Deprec'!J24</f>
        <v>0</v>
      </c>
      <c r="M126" s="90">
        <f>$G126*'Break-down of IGS and Deprec'!K24</f>
        <v>0.72</v>
      </c>
      <c r="N126" s="90">
        <f>$G126*'Break-down of IGS and Deprec'!L24</f>
        <v>0</v>
      </c>
      <c r="O126" s="90">
        <f>$G126*'Break-down of IGS and Deprec'!M24</f>
        <v>11.400000000000002</v>
      </c>
    </row>
    <row r="127" spans="2:17" x14ac:dyDescent="0.25">
      <c r="C127" s="36" t="s">
        <v>17</v>
      </c>
      <c r="G127" s="90">
        <f t="shared" si="27"/>
        <v>160</v>
      </c>
      <c r="H127" s="90">
        <f>$G127*'Break-down of IGS and Deprec'!F25</f>
        <v>0</v>
      </c>
      <c r="I127" s="90">
        <f>$G127*'Break-down of IGS and Deprec'!G25</f>
        <v>3.2</v>
      </c>
      <c r="J127" s="90">
        <f>$G127*'Break-down of IGS and Deprec'!H25</f>
        <v>10</v>
      </c>
      <c r="K127" s="90">
        <f>$G127*'Break-down of IGS and Deprec'!I25</f>
        <v>129</v>
      </c>
      <c r="L127" s="90">
        <f>$G127*'Break-down of IGS and Deprec'!J25</f>
        <v>0</v>
      </c>
      <c r="M127" s="90">
        <f>$G127*'Break-down of IGS and Deprec'!K25</f>
        <v>0</v>
      </c>
      <c r="N127" s="90">
        <f>$G127*'Break-down of IGS and Deprec'!L25</f>
        <v>0</v>
      </c>
      <c r="O127" s="90">
        <f>$G127*'Break-down of IGS and Deprec'!M25</f>
        <v>17.800000000000011</v>
      </c>
    </row>
    <row r="128" spans="2:17" x14ac:dyDescent="0.25">
      <c r="C128" s="36" t="s">
        <v>18</v>
      </c>
      <c r="G128" s="90">
        <f t="shared" si="27"/>
        <v>0</v>
      </c>
      <c r="H128" s="90">
        <f>$G128*'Break-down of IGS and Deprec'!F26</f>
        <v>0</v>
      </c>
      <c r="I128" s="90">
        <f>$G128*'Break-down of IGS and Deprec'!G26</f>
        <v>0</v>
      </c>
      <c r="J128" s="90">
        <f>$G128*'Break-down of IGS and Deprec'!H26</f>
        <v>0</v>
      </c>
      <c r="K128" s="90">
        <f>$G128*'Break-down of IGS and Deprec'!I26</f>
        <v>0</v>
      </c>
      <c r="L128" s="90">
        <f>$G128*'Break-down of IGS and Deprec'!J26</f>
        <v>0</v>
      </c>
      <c r="M128" s="90">
        <f>$G128*'Break-down of IGS and Deprec'!K26</f>
        <v>0</v>
      </c>
      <c r="N128" s="90">
        <f>$G128*'Break-down of IGS and Deprec'!L26</f>
        <v>0</v>
      </c>
      <c r="O128" s="90">
        <f>$G128*'Break-down of IGS and Deprec'!M26</f>
        <v>0</v>
      </c>
    </row>
    <row r="129" spans="2:16" x14ac:dyDescent="0.25">
      <c r="C129" s="36" t="s">
        <v>19</v>
      </c>
      <c r="G129" s="90">
        <f t="shared" si="27"/>
        <v>0</v>
      </c>
      <c r="H129" s="90">
        <f>$G129*'Break-down of IGS and Deprec'!F26</f>
        <v>0</v>
      </c>
      <c r="I129" s="90">
        <f>$G129*'Break-down of IGS and Deprec'!G26</f>
        <v>0</v>
      </c>
      <c r="J129" s="90">
        <f>$G129*'Break-down of IGS and Deprec'!H26</f>
        <v>0</v>
      </c>
      <c r="K129" s="90">
        <f>$G129*'Break-down of IGS and Deprec'!I26</f>
        <v>0</v>
      </c>
      <c r="L129" s="90">
        <f>$G129*'Break-down of IGS and Deprec'!J26</f>
        <v>0</v>
      </c>
      <c r="M129" s="90">
        <f>$G129*'Break-down of IGS and Deprec'!K26</f>
        <v>0</v>
      </c>
      <c r="N129" s="90">
        <f>$G129*'Break-down of IGS and Deprec'!L26</f>
        <v>0</v>
      </c>
      <c r="O129" s="90">
        <f>$G129*'Break-down of IGS and Deprec'!M26</f>
        <v>0</v>
      </c>
    </row>
    <row r="130" spans="2:16" x14ac:dyDescent="0.25">
      <c r="C130" s="36" t="s">
        <v>20</v>
      </c>
      <c r="G130" s="90">
        <f t="shared" si="27"/>
        <v>40</v>
      </c>
      <c r="H130" s="90">
        <f>$G130*'Break-down of IGS and Deprec'!F27</f>
        <v>21.666666666666664</v>
      </c>
      <c r="I130" s="90">
        <f>$G130*'Break-down of IGS and Deprec'!G27</f>
        <v>0</v>
      </c>
      <c r="J130" s="90">
        <f>$G130*'Break-down of IGS and Deprec'!H27</f>
        <v>0</v>
      </c>
      <c r="K130" s="90">
        <f>$G130*'Break-down of IGS and Deprec'!I27</f>
        <v>1.1000000000000001</v>
      </c>
      <c r="L130" s="90">
        <f>$G130*'Break-down of IGS and Deprec'!J27</f>
        <v>5</v>
      </c>
      <c r="M130" s="90">
        <f>$G130*'Break-down of IGS and Deprec'!K27</f>
        <v>0</v>
      </c>
      <c r="N130" s="90">
        <f>$G130*'Break-down of IGS and Deprec'!L27</f>
        <v>0</v>
      </c>
      <c r="O130" s="90">
        <f>$G130*'Break-down of IGS and Deprec'!M27</f>
        <v>12.233333333333334</v>
      </c>
    </row>
    <row r="131" spans="2:16" x14ac:dyDescent="0.25">
      <c r="C131" s="36" t="s">
        <v>21</v>
      </c>
      <c r="G131" s="90">
        <f t="shared" si="27"/>
        <v>30</v>
      </c>
      <c r="H131" s="90">
        <f>$G131*'Break-down of IGS and Deprec'!F28</f>
        <v>15.833333333333334</v>
      </c>
      <c r="I131" s="90">
        <f>$G131*'Break-down of IGS and Deprec'!G28</f>
        <v>3.666666666666667</v>
      </c>
      <c r="J131" s="90">
        <f>$G131*'Break-down of IGS and Deprec'!H28</f>
        <v>0</v>
      </c>
      <c r="K131" s="90">
        <f>$G131*'Break-down of IGS and Deprec'!I28</f>
        <v>0.83333333333333326</v>
      </c>
      <c r="L131" s="90">
        <f>$G131*'Break-down of IGS and Deprec'!J28</f>
        <v>0</v>
      </c>
      <c r="M131" s="90">
        <f>$G131*'Break-down of IGS and Deprec'!K28</f>
        <v>0</v>
      </c>
      <c r="N131" s="90">
        <f>$G131*'Break-down of IGS and Deprec'!L28</f>
        <v>0</v>
      </c>
      <c r="O131" s="90">
        <f>$G131*'Break-down of IGS and Deprec'!M28</f>
        <v>9.6666666666666661</v>
      </c>
      <c r="P131" s="90"/>
    </row>
    <row r="132" spans="2:16" x14ac:dyDescent="0.25">
      <c r="C132" s="36" t="s">
        <v>22</v>
      </c>
      <c r="G132" s="90">
        <f t="shared" si="27"/>
        <v>0</v>
      </c>
      <c r="H132" s="90">
        <f>$G132*'Break-down of IGS and Deprec'!F28</f>
        <v>0</v>
      </c>
      <c r="I132" s="90">
        <f>$G132*'Break-down of IGS and Deprec'!G28</f>
        <v>0</v>
      </c>
      <c r="J132" s="90">
        <f>$G132*'Break-down of IGS and Deprec'!H28</f>
        <v>0</v>
      </c>
      <c r="K132" s="90">
        <f>$G132*'Break-down of IGS and Deprec'!I28</f>
        <v>0</v>
      </c>
      <c r="L132" s="90">
        <f>$G132*'Break-down of IGS and Deprec'!J28</f>
        <v>0</v>
      </c>
      <c r="M132" s="90">
        <f>$G132*'Break-down of IGS and Deprec'!K28</f>
        <v>0</v>
      </c>
      <c r="N132" s="90">
        <f>$G132*'Break-down of IGS and Deprec'!L28</f>
        <v>0</v>
      </c>
      <c r="O132" s="90">
        <f>$G132*'Break-down of IGS and Deprec'!M28</f>
        <v>0</v>
      </c>
    </row>
    <row r="133" spans="2:16" x14ac:dyDescent="0.25">
      <c r="C133" s="36" t="s">
        <v>55</v>
      </c>
      <c r="G133" s="90">
        <f t="shared" si="27"/>
        <v>0</v>
      </c>
      <c r="H133" s="90">
        <f>$G133*'Break-down of IGS and Deprec'!F28</f>
        <v>0</v>
      </c>
      <c r="I133" s="90">
        <f>$G133*'Break-down of IGS and Deprec'!G28</f>
        <v>0</v>
      </c>
      <c r="J133" s="90">
        <f>$G133*'Break-down of IGS and Deprec'!H28</f>
        <v>0</v>
      </c>
      <c r="K133" s="90">
        <f>$G133*'Break-down of IGS and Deprec'!I28</f>
        <v>0</v>
      </c>
      <c r="L133" s="90">
        <f>$G133*'Break-down of IGS and Deprec'!J28</f>
        <v>0</v>
      </c>
      <c r="M133" s="90">
        <f>$G133*'Break-down of IGS and Deprec'!K28</f>
        <v>0</v>
      </c>
      <c r="N133" s="90">
        <f>$G133*'Break-down of IGS and Deprec'!L28</f>
        <v>0</v>
      </c>
      <c r="O133" s="90">
        <f>$G133*'Break-down of IGS and Deprec'!M28</f>
        <v>0</v>
      </c>
    </row>
    <row r="134" spans="2:16" x14ac:dyDescent="0.25">
      <c r="C134" s="36" t="s">
        <v>23</v>
      </c>
      <c r="G134" s="90">
        <f t="shared" si="27"/>
        <v>360</v>
      </c>
      <c r="H134" s="90">
        <f>$G134*'Break-down of IGS and Deprec'!F29</f>
        <v>92.8</v>
      </c>
      <c r="I134" s="90">
        <f>$G134*'Break-down of IGS and Deprec'!G29</f>
        <v>8</v>
      </c>
      <c r="J134" s="90">
        <f>$G134*'Break-down of IGS and Deprec'!H29</f>
        <v>0</v>
      </c>
      <c r="K134" s="90">
        <f>$G134*'Break-down of IGS and Deprec'!I29</f>
        <v>80</v>
      </c>
      <c r="L134" s="90">
        <f>$G134*'Break-down of IGS and Deprec'!J29</f>
        <v>16</v>
      </c>
      <c r="M134" s="90">
        <f>$G134*'Break-down of IGS and Deprec'!K29</f>
        <v>65.375999999999991</v>
      </c>
      <c r="N134" s="90">
        <f>$G134*'Break-down of IGS and Deprec'!L29</f>
        <v>0</v>
      </c>
      <c r="O134" s="90">
        <f>$G134*'Break-down of IGS and Deprec'!M29</f>
        <v>97.823999999999998</v>
      </c>
    </row>
    <row r="135" spans="2:16" x14ac:dyDescent="0.25">
      <c r="C135" s="36" t="s">
        <v>24</v>
      </c>
      <c r="G135" s="90">
        <f t="shared" si="27"/>
        <v>240</v>
      </c>
      <c r="H135" s="90">
        <f>$G135*'Break-down of IGS and Deprec'!F28</f>
        <v>126.66666666666667</v>
      </c>
      <c r="I135" s="90">
        <f>$G135*'Break-down of IGS and Deprec'!G28</f>
        <v>29.333333333333336</v>
      </c>
      <c r="J135" s="90">
        <f>$G135*'Break-down of IGS and Deprec'!H28</f>
        <v>0</v>
      </c>
      <c r="K135" s="90">
        <f>$G135*'Break-down of IGS and Deprec'!I28</f>
        <v>6.6666666666666661</v>
      </c>
      <c r="L135" s="90">
        <f>$G135*'Break-down of IGS and Deprec'!J28</f>
        <v>0</v>
      </c>
      <c r="M135" s="90">
        <f>$G135*'Break-down of IGS and Deprec'!K28</f>
        <v>0</v>
      </c>
      <c r="N135" s="90">
        <f>$G135*'Break-down of IGS and Deprec'!L28</f>
        <v>0</v>
      </c>
      <c r="O135" s="90">
        <f>$G135*'Break-down of IGS and Deprec'!M28</f>
        <v>77.333333333333329</v>
      </c>
    </row>
    <row r="136" spans="2:16" x14ac:dyDescent="0.25">
      <c r="C136" s="36" t="s">
        <v>25</v>
      </c>
      <c r="G136" s="90">
        <f t="shared" si="27"/>
        <v>49.871250000000003</v>
      </c>
      <c r="H136" s="90">
        <f>$G136*'Break-down of IGS and Deprec'!F30</f>
        <v>27.927900000000005</v>
      </c>
      <c r="I136" s="90">
        <f>$G136*'Break-down of IGS and Deprec'!G30</f>
        <v>0</v>
      </c>
      <c r="J136" s="90">
        <f>$G136*'Break-down of IGS and Deprec'!H30</f>
        <v>0</v>
      </c>
      <c r="K136" s="90">
        <f>$G136*'Break-down of IGS and Deprec'!I30</f>
        <v>4.9871250000000007</v>
      </c>
      <c r="L136" s="90">
        <f>$G136*'Break-down of IGS and Deprec'!J30</f>
        <v>0</v>
      </c>
      <c r="M136" s="90">
        <f>$G136*'Break-down of IGS and Deprec'!K30</f>
        <v>11.969100000000001</v>
      </c>
      <c r="N136" s="90">
        <f>$G136*'Break-down of IGS and Deprec'!L30</f>
        <v>0</v>
      </c>
      <c r="O136" s="90">
        <f>$G136*'Break-down of IGS and Deprec'!M30</f>
        <v>4.9871249999999998</v>
      </c>
    </row>
    <row r="137" spans="2:16" x14ac:dyDescent="0.25">
      <c r="C137" s="36" t="s">
        <v>56</v>
      </c>
      <c r="G137" s="90">
        <f t="shared" si="27"/>
        <v>0</v>
      </c>
      <c r="H137" s="92" t="s">
        <v>134</v>
      </c>
      <c r="I137" s="92" t="s">
        <v>134</v>
      </c>
      <c r="J137" s="92" t="s">
        <v>134</v>
      </c>
      <c r="K137" s="92" t="s">
        <v>134</v>
      </c>
      <c r="L137" s="92" t="s">
        <v>134</v>
      </c>
      <c r="M137" s="92" t="s">
        <v>134</v>
      </c>
      <c r="N137" s="92" t="s">
        <v>134</v>
      </c>
      <c r="O137" s="92" t="s">
        <v>134</v>
      </c>
    </row>
    <row r="138" spans="2:16" x14ac:dyDescent="0.25">
      <c r="C138" s="36" t="s">
        <v>57</v>
      </c>
      <c r="G138" s="90">
        <f t="shared" si="27"/>
        <v>0</v>
      </c>
      <c r="H138" s="92" t="s">
        <v>134</v>
      </c>
      <c r="I138" s="92" t="s">
        <v>134</v>
      </c>
      <c r="J138" s="92" t="s">
        <v>134</v>
      </c>
      <c r="K138" s="92" t="s">
        <v>134</v>
      </c>
      <c r="L138" s="92" t="s">
        <v>134</v>
      </c>
      <c r="M138" s="92" t="s">
        <v>134</v>
      </c>
      <c r="N138" s="92" t="s">
        <v>134</v>
      </c>
      <c r="O138" s="92" t="s">
        <v>134</v>
      </c>
    </row>
    <row r="139" spans="2:16" x14ac:dyDescent="0.25">
      <c r="C139" s="7" t="s">
        <v>135</v>
      </c>
      <c r="D139" s="7"/>
      <c r="E139" s="7"/>
      <c r="F139" s="7"/>
      <c r="G139" s="90">
        <f>SUM(G125:G138)</f>
        <v>929.87125000000003</v>
      </c>
      <c r="H139" s="90">
        <f>SUM(H125:H138)</f>
        <v>292.57456666666667</v>
      </c>
      <c r="I139" s="90">
        <f t="shared" ref="I139" si="28">SUM(I125:I138)</f>
        <v>56.2</v>
      </c>
      <c r="J139" s="90">
        <f t="shared" ref="J139" si="29">SUM(J125:J138)</f>
        <v>10</v>
      </c>
      <c r="K139" s="90">
        <f t="shared" ref="K139" si="30">SUM(K125:K138)</f>
        <v>235.28712499999997</v>
      </c>
      <c r="L139" s="90">
        <f t="shared" ref="L139" si="31">SUM(L125:L138)</f>
        <v>21</v>
      </c>
      <c r="M139" s="90">
        <f t="shared" ref="M139" si="32">SUM(M125:M138)</f>
        <v>78.065099999999987</v>
      </c>
      <c r="N139" s="90">
        <f t="shared" ref="N139" si="33">SUM(N125:N138)</f>
        <v>0</v>
      </c>
      <c r="O139" s="90">
        <f t="shared" ref="O139" si="34">SUM(O125:O138)</f>
        <v>236.74445833333334</v>
      </c>
      <c r="P139" s="58"/>
    </row>
    <row r="140" spans="2:16" x14ac:dyDescent="0.25">
      <c r="B140" s="7" t="s">
        <v>49</v>
      </c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2:16" x14ac:dyDescent="0.25">
      <c r="C141" s="36" t="s">
        <v>50</v>
      </c>
      <c r="G141" s="90">
        <f>I55</f>
        <v>50</v>
      </c>
      <c r="H141" s="90">
        <f>$G141*'Break-down of IGS and Deprec'!H90</f>
        <v>35</v>
      </c>
      <c r="I141" s="90">
        <f>$G141*'Break-down of IGS and Deprec'!I90</f>
        <v>2.5</v>
      </c>
      <c r="J141" s="90">
        <f>$G141*'Break-down of IGS and Deprec'!J90</f>
        <v>0</v>
      </c>
      <c r="K141" s="90">
        <f>$G141*'Break-down of IGS and Deprec'!K90</f>
        <v>1</v>
      </c>
      <c r="L141" s="90">
        <f>$G141*'Break-down of IGS and Deprec'!L90</f>
        <v>0</v>
      </c>
      <c r="M141" s="90">
        <f>$G141*'Break-down of IGS and Deprec'!M90</f>
        <v>2.5</v>
      </c>
      <c r="N141" s="90">
        <f>$G141*'Break-down of IGS and Deprec'!N90</f>
        <v>0</v>
      </c>
      <c r="O141" s="90">
        <f>$G141*'Break-down of IGS and Deprec'!O90</f>
        <v>9.0000000000000018</v>
      </c>
    </row>
    <row r="142" spans="2:16" x14ac:dyDescent="0.25">
      <c r="C142" s="36" t="s">
        <v>51</v>
      </c>
      <c r="G142" s="90">
        <f>I56</f>
        <v>67</v>
      </c>
      <c r="H142" s="90">
        <f>$G142*'Break-down of IGS and Deprec'!H92</f>
        <v>46.9</v>
      </c>
      <c r="I142" s="90">
        <f>$G142*'Break-down of IGS and Deprec'!I92</f>
        <v>3.35</v>
      </c>
      <c r="J142" s="90">
        <f>$G142*'Break-down of IGS and Deprec'!J92</f>
        <v>0</v>
      </c>
      <c r="K142" s="90">
        <f>$G142*'Break-down of IGS and Deprec'!K92</f>
        <v>1.34</v>
      </c>
      <c r="L142" s="90">
        <f>$G142*'Break-down of IGS and Deprec'!L92</f>
        <v>0</v>
      </c>
      <c r="M142" s="90">
        <f>$G142*'Break-down of IGS and Deprec'!M92</f>
        <v>3.35</v>
      </c>
      <c r="N142" s="90">
        <f>$G142*'Break-down of IGS and Deprec'!N92</f>
        <v>0</v>
      </c>
      <c r="O142" s="90">
        <f>$G142*'Break-down of IGS and Deprec'!O92</f>
        <v>12.060000000000004</v>
      </c>
    </row>
    <row r="143" spans="2:16" x14ac:dyDescent="0.25">
      <c r="C143" s="36" t="s">
        <v>26</v>
      </c>
      <c r="G143" s="90">
        <f>I57</f>
        <v>0</v>
      </c>
      <c r="H143" s="90">
        <f>$G143*'Break-down of IGS and Deprec'!H93</f>
        <v>0</v>
      </c>
      <c r="I143" s="90">
        <f>$G143*'Break-down of IGS and Deprec'!I93</f>
        <v>0</v>
      </c>
      <c r="J143" s="90">
        <f>$G143*'Break-down of IGS and Deprec'!J93</f>
        <v>0</v>
      </c>
      <c r="K143" s="90">
        <f>$G143*'Break-down of IGS and Deprec'!K93</f>
        <v>0</v>
      </c>
      <c r="L143" s="90">
        <f>$G143*'Break-down of IGS and Deprec'!L93</f>
        <v>0</v>
      </c>
      <c r="M143" s="90">
        <f>$G143*'Break-down of IGS and Deprec'!M93</f>
        <v>0</v>
      </c>
      <c r="N143" s="90">
        <f>$G143*'Break-down of IGS and Deprec'!N93</f>
        <v>0</v>
      </c>
      <c r="O143" s="90">
        <f>$G143*'Break-down of IGS and Deprec'!O93</f>
        <v>0</v>
      </c>
    </row>
    <row r="144" spans="2:16" x14ac:dyDescent="0.25">
      <c r="B144" s="7"/>
      <c r="C144" s="7" t="s">
        <v>137</v>
      </c>
      <c r="D144" s="7"/>
      <c r="G144" s="90">
        <f>SUM(G141:G143)</f>
        <v>117</v>
      </c>
      <c r="H144" s="90">
        <f>SUM(H141:H143)</f>
        <v>81.900000000000006</v>
      </c>
      <c r="I144" s="90">
        <f t="shared" ref="I144:O144" si="35">SUM(I141:I143)</f>
        <v>5.85</v>
      </c>
      <c r="J144" s="90">
        <f t="shared" si="35"/>
        <v>0</v>
      </c>
      <c r="K144" s="90">
        <f t="shared" si="35"/>
        <v>2.34</v>
      </c>
      <c r="L144" s="90">
        <f t="shared" si="35"/>
        <v>0</v>
      </c>
      <c r="M144" s="90">
        <f t="shared" si="35"/>
        <v>5.85</v>
      </c>
      <c r="N144" s="90">
        <f t="shared" si="35"/>
        <v>0</v>
      </c>
      <c r="O144" s="90">
        <f t="shared" si="35"/>
        <v>21.060000000000006</v>
      </c>
    </row>
    <row r="145" spans="2:17" x14ac:dyDescent="0.25">
      <c r="B145" s="7"/>
      <c r="C145" s="7"/>
      <c r="D145" s="7"/>
      <c r="G145" s="90"/>
      <c r="H145" s="105" t="s">
        <v>64</v>
      </c>
      <c r="I145" s="105" t="s">
        <v>64</v>
      </c>
      <c r="J145" s="105"/>
      <c r="K145" s="105"/>
      <c r="L145" s="105"/>
      <c r="M145" s="105"/>
      <c r="N145" s="105"/>
      <c r="O145" s="105"/>
    </row>
    <row r="146" spans="2:17" x14ac:dyDescent="0.25">
      <c r="G146" s="90"/>
      <c r="H146" s="105" t="s">
        <v>65</v>
      </c>
      <c r="I146" s="105" t="s">
        <v>66</v>
      </c>
      <c r="J146" s="106" t="s">
        <v>67</v>
      </c>
      <c r="K146" s="106" t="s">
        <v>68</v>
      </c>
      <c r="L146" s="106" t="s">
        <v>45</v>
      </c>
      <c r="M146" s="106" t="s">
        <v>69</v>
      </c>
      <c r="N146" s="106" t="s">
        <v>47</v>
      </c>
      <c r="O146" s="106" t="s">
        <v>70</v>
      </c>
    </row>
    <row r="147" spans="2:17" x14ac:dyDescent="0.25">
      <c r="B147" s="25" t="s">
        <v>295</v>
      </c>
      <c r="C147" s="25"/>
      <c r="D147" s="25"/>
      <c r="E147" s="25"/>
      <c r="F147" s="25"/>
      <c r="G147" s="90" t="s">
        <v>62</v>
      </c>
      <c r="H147" s="104">
        <f t="shared" ref="H147:O147" si="36">H139+H144</f>
        <v>374.47456666666665</v>
      </c>
      <c r="I147" s="104">
        <f t="shared" si="36"/>
        <v>62.050000000000004</v>
      </c>
      <c r="J147" s="104">
        <f t="shared" si="36"/>
        <v>10</v>
      </c>
      <c r="K147" s="104">
        <f t="shared" si="36"/>
        <v>237.62712499999998</v>
      </c>
      <c r="L147" s="104">
        <f t="shared" si="36"/>
        <v>21</v>
      </c>
      <c r="M147" s="104">
        <f t="shared" si="36"/>
        <v>83.915099999999981</v>
      </c>
      <c r="N147" s="104">
        <f t="shared" si="36"/>
        <v>0</v>
      </c>
      <c r="O147" s="104">
        <f t="shared" si="36"/>
        <v>257.80445833333334</v>
      </c>
      <c r="P147" s="58"/>
    </row>
    <row r="148" spans="2:17" x14ac:dyDescent="0.25">
      <c r="B148" s="25"/>
      <c r="C148" s="25"/>
      <c r="D148" s="25"/>
      <c r="E148" s="25"/>
      <c r="F148" s="25"/>
      <c r="G148" s="90"/>
      <c r="H148" s="104"/>
      <c r="I148" s="104"/>
      <c r="J148" s="104"/>
      <c r="K148" s="104"/>
      <c r="L148" s="104"/>
      <c r="M148" s="104"/>
      <c r="N148" s="104"/>
      <c r="O148" s="104"/>
    </row>
    <row r="149" spans="2:17" x14ac:dyDescent="0.25">
      <c r="B149" s="25"/>
      <c r="C149" s="25"/>
      <c r="D149" s="25"/>
      <c r="E149" s="25"/>
      <c r="F149" s="25"/>
      <c r="G149" s="90"/>
      <c r="H149" s="105" t="s">
        <v>64</v>
      </c>
      <c r="I149" s="105" t="s">
        <v>64</v>
      </c>
      <c r="J149" s="105"/>
      <c r="K149" s="105"/>
      <c r="L149" s="105"/>
      <c r="M149" s="105"/>
      <c r="N149" s="105"/>
      <c r="O149" s="105"/>
    </row>
    <row r="150" spans="2:17" x14ac:dyDescent="0.25">
      <c r="B150" s="26"/>
      <c r="C150" s="26"/>
      <c r="D150" s="26"/>
      <c r="E150" s="26"/>
      <c r="F150" s="26"/>
      <c r="G150" s="90"/>
      <c r="H150" s="105" t="s">
        <v>65</v>
      </c>
      <c r="I150" s="105" t="s">
        <v>66</v>
      </c>
      <c r="J150" s="106" t="s">
        <v>67</v>
      </c>
      <c r="K150" s="106" t="s">
        <v>68</v>
      </c>
      <c r="L150" s="106" t="s">
        <v>45</v>
      </c>
      <c r="M150" s="106" t="s">
        <v>69</v>
      </c>
      <c r="N150" s="106" t="s">
        <v>47</v>
      </c>
      <c r="O150" s="106" t="s">
        <v>138</v>
      </c>
      <c r="Q150" s="58"/>
    </row>
    <row r="151" spans="2:17" x14ac:dyDescent="0.25">
      <c r="B151" s="25" t="s">
        <v>296</v>
      </c>
      <c r="C151" s="25"/>
      <c r="D151" s="25"/>
      <c r="E151" s="25"/>
      <c r="F151" s="25"/>
      <c r="G151" s="90" t="s">
        <v>62</v>
      </c>
      <c r="H151" s="104">
        <f>H147</f>
        <v>374.47456666666665</v>
      </c>
      <c r="I151" s="104">
        <f>I147</f>
        <v>62.050000000000004</v>
      </c>
      <c r="J151" s="104">
        <f>I33+J147</f>
        <v>110</v>
      </c>
      <c r="K151" s="104">
        <f>I49+K147</f>
        <v>1716.377125</v>
      </c>
      <c r="L151" s="104">
        <f>I82+L147</f>
        <v>21</v>
      </c>
      <c r="M151" s="104">
        <f>I83+M147</f>
        <v>83.915099999999981</v>
      </c>
      <c r="N151" s="104">
        <f>I52+N147</f>
        <v>0</v>
      </c>
      <c r="O151" s="104">
        <f>I59+O147</f>
        <v>1232.1832083333331</v>
      </c>
      <c r="Q151" s="58"/>
    </row>
    <row r="152" spans="2:17" x14ac:dyDescent="0.25">
      <c r="G152" s="90"/>
      <c r="H152" s="90"/>
      <c r="I152" s="90"/>
      <c r="J152" s="90"/>
      <c r="K152" s="90"/>
      <c r="L152" s="90"/>
      <c r="M152" s="90"/>
      <c r="N152" s="90"/>
      <c r="O152" s="90"/>
      <c r="Q152" s="58"/>
    </row>
    <row r="153" spans="2:17" x14ac:dyDescent="0.25">
      <c r="B153" s="46" t="str">
        <f>J5</f>
        <v>Option 4:</v>
      </c>
      <c r="C153" s="44" t="str">
        <f>J6</f>
        <v>Achievable</v>
      </c>
      <c r="D153" s="44" t="str">
        <f>J7</f>
        <v>farm</v>
      </c>
      <c r="E153" s="45" t="str">
        <f>J8</f>
        <v>Comm/large</v>
      </c>
      <c r="F153" s="7" t="str">
        <f>F123</f>
        <v>(GhC/acre)</v>
      </c>
      <c r="G153" s="104"/>
      <c r="H153" s="105" t="s">
        <v>64</v>
      </c>
      <c r="I153" s="105" t="s">
        <v>64</v>
      </c>
      <c r="J153" s="105"/>
      <c r="K153" s="105"/>
      <c r="L153" s="105"/>
      <c r="M153" s="105"/>
      <c r="N153" s="105"/>
      <c r="O153" s="105"/>
    </row>
    <row r="154" spans="2:17" x14ac:dyDescent="0.25">
      <c r="B154" s="7" t="s">
        <v>132</v>
      </c>
      <c r="C154" s="7"/>
      <c r="D154" s="7"/>
      <c r="E154" s="7"/>
      <c r="G154" s="90" t="s">
        <v>133</v>
      </c>
      <c r="H154" s="105" t="s">
        <v>65</v>
      </c>
      <c r="I154" s="105" t="s">
        <v>66</v>
      </c>
      <c r="J154" s="106" t="s">
        <v>67</v>
      </c>
      <c r="K154" s="106" t="s">
        <v>68</v>
      </c>
      <c r="L154" s="106" t="s">
        <v>45</v>
      </c>
      <c r="M154" s="106" t="s">
        <v>69</v>
      </c>
      <c r="N154" s="106" t="s">
        <v>47</v>
      </c>
      <c r="O154" s="106" t="s">
        <v>70</v>
      </c>
    </row>
    <row r="155" spans="2:17" x14ac:dyDescent="0.25">
      <c r="C155" s="36" t="s">
        <v>15</v>
      </c>
      <c r="G155" s="90">
        <f t="shared" ref="G155:G168" si="37">J17</f>
        <v>20</v>
      </c>
      <c r="H155" s="90">
        <f>$G155*'Break-down of IGS and Deprec'!F23</f>
        <v>0</v>
      </c>
      <c r="I155" s="90">
        <f>$G155*'Break-down of IGS and Deprec'!G23</f>
        <v>12</v>
      </c>
      <c r="J155" s="90">
        <f>$G155*'Break-down of IGS and Deprec'!H23</f>
        <v>0</v>
      </c>
      <c r="K155" s="90">
        <f>$G155*'Break-down of IGS and Deprec'!I23</f>
        <v>2.5</v>
      </c>
      <c r="L155" s="90">
        <f>$G155*'Break-down of IGS and Deprec'!J23</f>
        <v>0</v>
      </c>
      <c r="M155" s="90">
        <f>$G155*'Break-down of IGS and Deprec'!K23</f>
        <v>0</v>
      </c>
      <c r="N155" s="90">
        <f>$G155*'Break-down of IGS and Deprec'!L23</f>
        <v>0</v>
      </c>
      <c r="O155" s="90">
        <f>$G155*'Break-down of IGS and Deprec'!M23</f>
        <v>5.5</v>
      </c>
      <c r="P155" s="90"/>
    </row>
    <row r="156" spans="2:17" x14ac:dyDescent="0.25">
      <c r="C156" s="36" t="s">
        <v>16</v>
      </c>
      <c r="G156" s="90">
        <f t="shared" si="37"/>
        <v>30</v>
      </c>
      <c r="H156" s="90">
        <f>$G156*'Break-down of IGS and Deprec'!F24</f>
        <v>7.68</v>
      </c>
      <c r="I156" s="90">
        <f>$G156*'Break-down of IGS and Deprec'!G24</f>
        <v>0</v>
      </c>
      <c r="J156" s="90">
        <f>$G156*'Break-down of IGS and Deprec'!H24</f>
        <v>0</v>
      </c>
      <c r="K156" s="90">
        <f>$G156*'Break-down of IGS and Deprec'!I24</f>
        <v>10.200000000000001</v>
      </c>
      <c r="L156" s="90">
        <f>$G156*'Break-down of IGS and Deprec'!J24</f>
        <v>0</v>
      </c>
      <c r="M156" s="90">
        <f>$G156*'Break-down of IGS and Deprec'!K24</f>
        <v>0.72</v>
      </c>
      <c r="N156" s="90">
        <f>$G156*'Break-down of IGS and Deprec'!L24</f>
        <v>0</v>
      </c>
      <c r="O156" s="90">
        <f>$G156*'Break-down of IGS and Deprec'!M24</f>
        <v>11.400000000000002</v>
      </c>
      <c r="P156" s="90"/>
    </row>
    <row r="157" spans="2:17" x14ac:dyDescent="0.25">
      <c r="C157" s="36" t="s">
        <v>17</v>
      </c>
      <c r="G157" s="90">
        <f t="shared" si="37"/>
        <v>160</v>
      </c>
      <c r="H157" s="90">
        <f>$G157*'Break-down of IGS and Deprec'!F25</f>
        <v>0</v>
      </c>
      <c r="I157" s="90">
        <f>$G157*'Break-down of IGS and Deprec'!G25</f>
        <v>3.2</v>
      </c>
      <c r="J157" s="90">
        <f>$G157*'Break-down of IGS and Deprec'!H25</f>
        <v>10</v>
      </c>
      <c r="K157" s="90">
        <f>$G157*'Break-down of IGS and Deprec'!I25</f>
        <v>129</v>
      </c>
      <c r="L157" s="90">
        <f>$G157*'Break-down of IGS and Deprec'!J25</f>
        <v>0</v>
      </c>
      <c r="M157" s="90">
        <f>$G157*'Break-down of IGS and Deprec'!K25</f>
        <v>0</v>
      </c>
      <c r="N157" s="90">
        <f>$G157*'Break-down of IGS and Deprec'!L25</f>
        <v>0</v>
      </c>
      <c r="O157" s="90">
        <f>$G157*'Break-down of IGS and Deprec'!M25</f>
        <v>17.800000000000011</v>
      </c>
      <c r="P157" s="90"/>
    </row>
    <row r="158" spans="2:17" x14ac:dyDescent="0.25">
      <c r="C158" s="36" t="s">
        <v>18</v>
      </c>
      <c r="G158" s="90">
        <f t="shared" si="37"/>
        <v>0</v>
      </c>
      <c r="H158" s="90">
        <f>$G158*'Break-down of IGS and Deprec'!F26</f>
        <v>0</v>
      </c>
      <c r="I158" s="90">
        <f>$G158*'Break-down of IGS and Deprec'!G26</f>
        <v>0</v>
      </c>
      <c r="J158" s="90">
        <f>$G158*'Break-down of IGS and Deprec'!H26</f>
        <v>0</v>
      </c>
      <c r="K158" s="90">
        <f>$G158*'Break-down of IGS and Deprec'!I26</f>
        <v>0</v>
      </c>
      <c r="L158" s="90">
        <f>$G158*'Break-down of IGS and Deprec'!J26</f>
        <v>0</v>
      </c>
      <c r="M158" s="90">
        <f>$G158*'Break-down of IGS and Deprec'!K26</f>
        <v>0</v>
      </c>
      <c r="N158" s="90">
        <f>$G158*'Break-down of IGS and Deprec'!L26</f>
        <v>0</v>
      </c>
      <c r="O158" s="90">
        <f>$G158*'Break-down of IGS and Deprec'!M26</f>
        <v>0</v>
      </c>
      <c r="P158" s="90"/>
    </row>
    <row r="159" spans="2:17" x14ac:dyDescent="0.25">
      <c r="C159" s="36" t="s">
        <v>19</v>
      </c>
      <c r="G159" s="90">
        <f t="shared" si="37"/>
        <v>0</v>
      </c>
      <c r="H159" s="90">
        <f>$G159*'Break-down of IGS and Deprec'!F26</f>
        <v>0</v>
      </c>
      <c r="I159" s="90">
        <f>$G159*'Break-down of IGS and Deprec'!G26</f>
        <v>0</v>
      </c>
      <c r="J159" s="90">
        <f>$G159*'Break-down of IGS and Deprec'!H26</f>
        <v>0</v>
      </c>
      <c r="K159" s="90">
        <f>$G159*'Break-down of IGS and Deprec'!I26</f>
        <v>0</v>
      </c>
      <c r="L159" s="90">
        <f>$G159*'Break-down of IGS and Deprec'!J26</f>
        <v>0</v>
      </c>
      <c r="M159" s="90">
        <f>$G159*'Break-down of IGS and Deprec'!K26</f>
        <v>0</v>
      </c>
      <c r="N159" s="90">
        <f>$G159*'Break-down of IGS and Deprec'!L26</f>
        <v>0</v>
      </c>
      <c r="O159" s="90">
        <f>$G159*'Break-down of IGS and Deprec'!M26</f>
        <v>0</v>
      </c>
      <c r="P159" s="90"/>
    </row>
    <row r="160" spans="2:17" x14ac:dyDescent="0.25">
      <c r="C160" s="36" t="s">
        <v>20</v>
      </c>
      <c r="G160" s="90">
        <f t="shared" si="37"/>
        <v>40</v>
      </c>
      <c r="H160" s="90">
        <f>$G160*'Break-down of IGS and Deprec'!F27</f>
        <v>21.666666666666664</v>
      </c>
      <c r="I160" s="90">
        <f>$G160*'Break-down of IGS and Deprec'!G27</f>
        <v>0</v>
      </c>
      <c r="J160" s="90">
        <f>$G160*'Break-down of IGS and Deprec'!H27</f>
        <v>0</v>
      </c>
      <c r="K160" s="90">
        <f>$G160*'Break-down of IGS and Deprec'!I27</f>
        <v>1.1000000000000001</v>
      </c>
      <c r="L160" s="90">
        <f>$G160*'Break-down of IGS and Deprec'!J27</f>
        <v>5</v>
      </c>
      <c r="M160" s="90">
        <f>$G160*'Break-down of IGS and Deprec'!K27</f>
        <v>0</v>
      </c>
      <c r="N160" s="90">
        <f>$G160*'Break-down of IGS and Deprec'!L27</f>
        <v>0</v>
      </c>
      <c r="O160" s="90">
        <f>$G160*'Break-down of IGS and Deprec'!M27</f>
        <v>12.233333333333334</v>
      </c>
      <c r="P160" s="90"/>
    </row>
    <row r="161" spans="2:16" x14ac:dyDescent="0.25">
      <c r="C161" s="36" t="s">
        <v>21</v>
      </c>
      <c r="G161" s="90">
        <f t="shared" si="37"/>
        <v>30</v>
      </c>
      <c r="H161" s="90">
        <f>$G161*'Break-down of IGS and Deprec'!F28</f>
        <v>15.833333333333334</v>
      </c>
      <c r="I161" s="90">
        <f>$G161*'Break-down of IGS and Deprec'!G28</f>
        <v>3.666666666666667</v>
      </c>
      <c r="J161" s="90">
        <f>$G161*'Break-down of IGS and Deprec'!H28</f>
        <v>0</v>
      </c>
      <c r="K161" s="90">
        <f>$G161*'Break-down of IGS and Deprec'!I28</f>
        <v>0.83333333333333326</v>
      </c>
      <c r="L161" s="90">
        <f>$G161*'Break-down of IGS and Deprec'!J28</f>
        <v>0</v>
      </c>
      <c r="M161" s="90">
        <f>$G161*'Break-down of IGS and Deprec'!K28</f>
        <v>0</v>
      </c>
      <c r="N161" s="90">
        <f>$G161*'Break-down of IGS and Deprec'!L28</f>
        <v>0</v>
      </c>
      <c r="O161" s="90">
        <f>$G161*'Break-down of IGS and Deprec'!M28</f>
        <v>9.6666666666666661</v>
      </c>
      <c r="P161" s="90"/>
    </row>
    <row r="162" spans="2:16" x14ac:dyDescent="0.25">
      <c r="C162" s="36" t="s">
        <v>22</v>
      </c>
      <c r="G162" s="90">
        <f t="shared" si="37"/>
        <v>105</v>
      </c>
      <c r="H162" s="90">
        <f>$G162*'Break-down of IGS and Deprec'!F28</f>
        <v>55.416666666666671</v>
      </c>
      <c r="I162" s="90">
        <f>$G162*'Break-down of IGS and Deprec'!G28</f>
        <v>12.833333333333334</v>
      </c>
      <c r="J162" s="90">
        <f>$G162*'Break-down of IGS and Deprec'!H28</f>
        <v>0</v>
      </c>
      <c r="K162" s="90">
        <f>$G162*'Break-down of IGS and Deprec'!I28</f>
        <v>2.9166666666666665</v>
      </c>
      <c r="L162" s="90">
        <f>$G162*'Break-down of IGS and Deprec'!J28</f>
        <v>0</v>
      </c>
      <c r="M162" s="90">
        <f>$G162*'Break-down of IGS and Deprec'!K28</f>
        <v>0</v>
      </c>
      <c r="N162" s="90">
        <f>$G162*'Break-down of IGS and Deprec'!L28</f>
        <v>0</v>
      </c>
      <c r="O162" s="90">
        <f>$G162*'Break-down of IGS and Deprec'!M28</f>
        <v>33.833333333333329</v>
      </c>
      <c r="P162" s="90"/>
    </row>
    <row r="163" spans="2:16" x14ac:dyDescent="0.25">
      <c r="C163" s="36" t="s">
        <v>55</v>
      </c>
      <c r="G163" s="90">
        <f t="shared" si="37"/>
        <v>0</v>
      </c>
      <c r="H163" s="90">
        <f>$G163*'Break-down of IGS and Deprec'!F28</f>
        <v>0</v>
      </c>
      <c r="I163" s="90">
        <f>$G163*'Break-down of IGS and Deprec'!G28</f>
        <v>0</v>
      </c>
      <c r="J163" s="90">
        <f>$G163*'Break-down of IGS and Deprec'!H28</f>
        <v>0</v>
      </c>
      <c r="K163" s="90">
        <f>$G163*'Break-down of IGS and Deprec'!I28</f>
        <v>0</v>
      </c>
      <c r="L163" s="90">
        <f>$G163*'Break-down of IGS and Deprec'!J28</f>
        <v>0</v>
      </c>
      <c r="M163" s="90">
        <f>$G163*'Break-down of IGS and Deprec'!K28</f>
        <v>0</v>
      </c>
      <c r="N163" s="90">
        <f>$G163*'Break-down of IGS and Deprec'!L28</f>
        <v>0</v>
      </c>
      <c r="O163" s="90">
        <f>$G163*'Break-down of IGS and Deprec'!M28</f>
        <v>0</v>
      </c>
      <c r="P163" s="90"/>
    </row>
    <row r="164" spans="2:16" x14ac:dyDescent="0.25">
      <c r="C164" s="36" t="s">
        <v>23</v>
      </c>
      <c r="G164" s="90">
        <f t="shared" si="37"/>
        <v>360</v>
      </c>
      <c r="H164" s="90">
        <f>$G164*'Break-down of IGS and Deprec'!F29</f>
        <v>92.8</v>
      </c>
      <c r="I164" s="90">
        <f>$G164*'Break-down of IGS and Deprec'!G29</f>
        <v>8</v>
      </c>
      <c r="J164" s="90">
        <f>$G164*'Break-down of IGS and Deprec'!H29</f>
        <v>0</v>
      </c>
      <c r="K164" s="90">
        <f>$G164*'Break-down of IGS and Deprec'!I29</f>
        <v>80</v>
      </c>
      <c r="L164" s="90">
        <f>$G164*'Break-down of IGS and Deprec'!J29</f>
        <v>16</v>
      </c>
      <c r="M164" s="90">
        <f>$G164*'Break-down of IGS and Deprec'!K29</f>
        <v>65.375999999999991</v>
      </c>
      <c r="N164" s="90">
        <f>$G164*'Break-down of IGS and Deprec'!L29</f>
        <v>0</v>
      </c>
      <c r="O164" s="90">
        <f>$G164*'Break-down of IGS and Deprec'!M29</f>
        <v>97.823999999999998</v>
      </c>
      <c r="P164" s="90"/>
    </row>
    <row r="165" spans="2:16" x14ac:dyDescent="0.25">
      <c r="C165" s="36" t="s">
        <v>24</v>
      </c>
      <c r="G165" s="90">
        <f t="shared" si="37"/>
        <v>240</v>
      </c>
      <c r="H165" s="90">
        <f>$G165*'Break-down of IGS and Deprec'!F28</f>
        <v>126.66666666666667</v>
      </c>
      <c r="I165" s="90">
        <f>$G165*'Break-down of IGS and Deprec'!G28</f>
        <v>29.333333333333336</v>
      </c>
      <c r="J165" s="90">
        <f>$G165*'Break-down of IGS and Deprec'!H28</f>
        <v>0</v>
      </c>
      <c r="K165" s="90">
        <f>$G165*'Break-down of IGS and Deprec'!I28</f>
        <v>6.6666666666666661</v>
      </c>
      <c r="L165" s="90">
        <f>$G165*'Break-down of IGS and Deprec'!J28</f>
        <v>0</v>
      </c>
      <c r="M165" s="90">
        <f>$G165*'Break-down of IGS and Deprec'!K28</f>
        <v>0</v>
      </c>
      <c r="N165" s="90">
        <f>$G165*'Break-down of IGS and Deprec'!L28</f>
        <v>0</v>
      </c>
      <c r="O165" s="90">
        <f>$G165*'Break-down of IGS and Deprec'!M28</f>
        <v>77.333333333333329</v>
      </c>
      <c r="P165" s="90"/>
    </row>
    <row r="166" spans="2:16" x14ac:dyDescent="0.25">
      <c r="C166" s="36" t="s">
        <v>25</v>
      </c>
      <c r="G166" s="90">
        <f t="shared" si="37"/>
        <v>49.871250000000003</v>
      </c>
      <c r="H166" s="90">
        <f>$G166*'Break-down of IGS and Deprec'!F30</f>
        <v>27.927900000000005</v>
      </c>
      <c r="I166" s="90">
        <f>$G166*'Break-down of IGS and Deprec'!G30</f>
        <v>0</v>
      </c>
      <c r="J166" s="90">
        <f>$G166*'Break-down of IGS and Deprec'!H30</f>
        <v>0</v>
      </c>
      <c r="K166" s="90">
        <f>$G166*'Break-down of IGS and Deprec'!I30</f>
        <v>4.9871250000000007</v>
      </c>
      <c r="L166" s="90">
        <f>$G166*'Break-down of IGS and Deprec'!J30</f>
        <v>0</v>
      </c>
      <c r="M166" s="90">
        <f>$G166*'Break-down of IGS and Deprec'!K30</f>
        <v>11.969100000000001</v>
      </c>
      <c r="N166" s="90">
        <f>$G166*'Break-down of IGS and Deprec'!L30</f>
        <v>0</v>
      </c>
      <c r="O166" s="90">
        <f>$G166*'Break-down of IGS and Deprec'!M30</f>
        <v>4.9871249999999998</v>
      </c>
      <c r="P166" s="90"/>
    </row>
    <row r="167" spans="2:16" x14ac:dyDescent="0.25">
      <c r="C167" s="36" t="s">
        <v>56</v>
      </c>
      <c r="G167" s="90">
        <f t="shared" si="37"/>
        <v>0</v>
      </c>
      <c r="H167" s="92" t="s">
        <v>134</v>
      </c>
      <c r="I167" s="92" t="s">
        <v>134</v>
      </c>
      <c r="J167" s="92" t="s">
        <v>134</v>
      </c>
      <c r="K167" s="92" t="s">
        <v>134</v>
      </c>
      <c r="L167" s="92" t="s">
        <v>134</v>
      </c>
      <c r="M167" s="92" t="s">
        <v>134</v>
      </c>
      <c r="N167" s="92" t="s">
        <v>134</v>
      </c>
      <c r="O167" s="92" t="s">
        <v>134</v>
      </c>
      <c r="P167" s="90"/>
    </row>
    <row r="168" spans="2:16" x14ac:dyDescent="0.25">
      <c r="C168" s="36" t="s">
        <v>57</v>
      </c>
      <c r="G168" s="90">
        <f t="shared" si="37"/>
        <v>0</v>
      </c>
      <c r="H168" s="92" t="s">
        <v>134</v>
      </c>
      <c r="I168" s="92" t="s">
        <v>134</v>
      </c>
      <c r="J168" s="92" t="s">
        <v>134</v>
      </c>
      <c r="K168" s="92" t="s">
        <v>134</v>
      </c>
      <c r="L168" s="92" t="s">
        <v>134</v>
      </c>
      <c r="M168" s="92" t="s">
        <v>134</v>
      </c>
      <c r="N168" s="92" t="s">
        <v>134</v>
      </c>
      <c r="O168" s="92" t="s">
        <v>134</v>
      </c>
      <c r="P168" s="90"/>
    </row>
    <row r="169" spans="2:16" x14ac:dyDescent="0.25">
      <c r="C169" s="7" t="s">
        <v>135</v>
      </c>
      <c r="D169" s="7"/>
      <c r="E169" s="7"/>
      <c r="F169" s="7"/>
      <c r="G169" s="90">
        <f>SUM(G155:G168)</f>
        <v>1034.8712499999999</v>
      </c>
      <c r="H169" s="90">
        <f>SUM(H155:H168)</f>
        <v>347.99123333333335</v>
      </c>
      <c r="I169" s="90">
        <f t="shared" ref="I169:O169" si="38">SUM(I155:I168)</f>
        <v>69.033333333333331</v>
      </c>
      <c r="J169" s="90">
        <f t="shared" si="38"/>
        <v>10</v>
      </c>
      <c r="K169" s="90">
        <f t="shared" si="38"/>
        <v>238.20379166666663</v>
      </c>
      <c r="L169" s="90">
        <f t="shared" si="38"/>
        <v>21</v>
      </c>
      <c r="M169" s="90">
        <f t="shared" si="38"/>
        <v>78.065099999999987</v>
      </c>
      <c r="N169" s="90">
        <f t="shared" si="38"/>
        <v>0</v>
      </c>
      <c r="O169" s="90">
        <f t="shared" si="38"/>
        <v>270.57779166666666</v>
      </c>
      <c r="P169" s="90"/>
    </row>
    <row r="170" spans="2:16" x14ac:dyDescent="0.25">
      <c r="B170" s="7" t="s">
        <v>49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2:16" x14ac:dyDescent="0.25">
      <c r="C171" s="36" t="s">
        <v>50</v>
      </c>
      <c r="G171" s="90">
        <f>J55</f>
        <v>50</v>
      </c>
      <c r="H171" s="90">
        <f>$G171*'Break-down of IGS and Deprec'!H90</f>
        <v>35</v>
      </c>
      <c r="I171" s="90">
        <f>$G171*'Break-down of IGS and Deprec'!I90</f>
        <v>2.5</v>
      </c>
      <c r="J171" s="90">
        <f>$G171*'Break-down of IGS and Deprec'!J90</f>
        <v>0</v>
      </c>
      <c r="K171" s="90">
        <f>$G171*'Break-down of IGS and Deprec'!K90</f>
        <v>1</v>
      </c>
      <c r="L171" s="90">
        <f>$G171*'Break-down of IGS and Deprec'!L90</f>
        <v>0</v>
      </c>
      <c r="M171" s="90">
        <f>$G171*'Break-down of IGS and Deprec'!M90</f>
        <v>2.5</v>
      </c>
      <c r="N171" s="90">
        <f>$G171*'Break-down of IGS and Deprec'!N90</f>
        <v>0</v>
      </c>
      <c r="O171" s="90">
        <f>$G171*'Break-down of IGS and Deprec'!O90</f>
        <v>9.0000000000000018</v>
      </c>
      <c r="P171" s="90"/>
    </row>
    <row r="172" spans="2:16" x14ac:dyDescent="0.25">
      <c r="C172" s="36" t="s">
        <v>51</v>
      </c>
      <c r="G172" s="90">
        <f>J56</f>
        <v>67</v>
      </c>
      <c r="H172" s="90">
        <f>$G172*'Break-down of IGS and Deprec'!H92</f>
        <v>46.9</v>
      </c>
      <c r="I172" s="90">
        <f>$G172*'Break-down of IGS and Deprec'!I92</f>
        <v>3.35</v>
      </c>
      <c r="J172" s="90">
        <f>$G172*'Break-down of IGS and Deprec'!J92</f>
        <v>0</v>
      </c>
      <c r="K172" s="90">
        <f>$G172*'Break-down of IGS and Deprec'!K92</f>
        <v>1.34</v>
      </c>
      <c r="L172" s="90">
        <f>$G172*'Break-down of IGS and Deprec'!L92</f>
        <v>0</v>
      </c>
      <c r="M172" s="90">
        <f>$G172*'Break-down of IGS and Deprec'!M92</f>
        <v>3.35</v>
      </c>
      <c r="N172" s="90">
        <f>$G172*'Break-down of IGS and Deprec'!N92</f>
        <v>0</v>
      </c>
      <c r="O172" s="90">
        <f>$G172*'Break-down of IGS and Deprec'!O92</f>
        <v>12.060000000000004</v>
      </c>
      <c r="P172" s="90"/>
    </row>
    <row r="173" spans="2:16" x14ac:dyDescent="0.25">
      <c r="C173" s="36" t="s">
        <v>26</v>
      </c>
      <c r="G173" s="90">
        <f>J57</f>
        <v>0</v>
      </c>
      <c r="H173" s="90">
        <f>$G173*'Break-down of IGS and Deprec'!H93</f>
        <v>0</v>
      </c>
      <c r="I173" s="90">
        <f>$G173*'Break-down of IGS and Deprec'!I93</f>
        <v>0</v>
      </c>
      <c r="J173" s="90">
        <f>$G173*'Break-down of IGS and Deprec'!J93</f>
        <v>0</v>
      </c>
      <c r="K173" s="90">
        <f>$G173*'Break-down of IGS and Deprec'!K93</f>
        <v>0</v>
      </c>
      <c r="L173" s="90">
        <f>$G173*'Break-down of IGS and Deprec'!L93</f>
        <v>0</v>
      </c>
      <c r="M173" s="90">
        <f>$G173*'Break-down of IGS and Deprec'!M93</f>
        <v>0</v>
      </c>
      <c r="N173" s="90">
        <f>$G173*'Break-down of IGS and Deprec'!N93</f>
        <v>0</v>
      </c>
      <c r="O173" s="90">
        <f>$G173*'Break-down of IGS and Deprec'!O93</f>
        <v>0</v>
      </c>
      <c r="P173" s="90"/>
    </row>
    <row r="174" spans="2:16" x14ac:dyDescent="0.25">
      <c r="B174" s="7"/>
      <c r="C174" s="7" t="s">
        <v>137</v>
      </c>
      <c r="D174" s="7"/>
      <c r="G174" s="90">
        <f>SUM(G171:G173)</f>
        <v>117</v>
      </c>
      <c r="H174" s="90">
        <f>SUM(H171:H173)</f>
        <v>81.900000000000006</v>
      </c>
      <c r="I174" s="90">
        <f t="shared" ref="I174:O174" si="39">SUM(I171:I173)</f>
        <v>5.85</v>
      </c>
      <c r="J174" s="90">
        <f t="shared" si="39"/>
        <v>0</v>
      </c>
      <c r="K174" s="90">
        <f t="shared" si="39"/>
        <v>2.34</v>
      </c>
      <c r="L174" s="90">
        <f t="shared" si="39"/>
        <v>0</v>
      </c>
      <c r="M174" s="90">
        <f t="shared" si="39"/>
        <v>5.85</v>
      </c>
      <c r="N174" s="90">
        <f t="shared" si="39"/>
        <v>0</v>
      </c>
      <c r="O174" s="90">
        <f t="shared" si="39"/>
        <v>21.060000000000006</v>
      </c>
      <c r="P174" s="90"/>
    </row>
    <row r="175" spans="2:16" x14ac:dyDescent="0.25">
      <c r="B175" s="7"/>
      <c r="C175" s="7"/>
      <c r="D175" s="7"/>
      <c r="G175" s="90"/>
      <c r="H175" s="105" t="s">
        <v>64</v>
      </c>
      <c r="I175" s="105" t="s">
        <v>64</v>
      </c>
      <c r="J175" s="105"/>
      <c r="K175" s="105"/>
      <c r="L175" s="105"/>
      <c r="M175" s="105"/>
      <c r="N175" s="105"/>
      <c r="O175" s="105"/>
      <c r="P175" s="90"/>
    </row>
    <row r="176" spans="2:16" x14ac:dyDescent="0.25">
      <c r="G176" s="90"/>
      <c r="H176" s="105" t="s">
        <v>65</v>
      </c>
      <c r="I176" s="105" t="s">
        <v>66</v>
      </c>
      <c r="J176" s="106" t="s">
        <v>67</v>
      </c>
      <c r="K176" s="106" t="s">
        <v>68</v>
      </c>
      <c r="L176" s="106" t="s">
        <v>45</v>
      </c>
      <c r="M176" s="106" t="s">
        <v>69</v>
      </c>
      <c r="N176" s="106" t="s">
        <v>47</v>
      </c>
      <c r="O176" s="106" t="s">
        <v>70</v>
      </c>
      <c r="P176" s="90"/>
    </row>
    <row r="177" spans="2:17" x14ac:dyDescent="0.25">
      <c r="B177" s="25" t="s">
        <v>293</v>
      </c>
      <c r="C177" s="25"/>
      <c r="D177" s="25"/>
      <c r="E177" s="25"/>
      <c r="F177" s="25"/>
      <c r="G177" s="90" t="s">
        <v>62</v>
      </c>
      <c r="H177" s="107">
        <f t="shared" ref="H177:O177" si="40">H169+H174</f>
        <v>429.89123333333339</v>
      </c>
      <c r="I177" s="107">
        <f t="shared" si="40"/>
        <v>74.883333333333326</v>
      </c>
      <c r="J177" s="107">
        <f t="shared" si="40"/>
        <v>10</v>
      </c>
      <c r="K177" s="107">
        <f t="shared" si="40"/>
        <v>240.54379166666664</v>
      </c>
      <c r="L177" s="107">
        <f t="shared" si="40"/>
        <v>21</v>
      </c>
      <c r="M177" s="107">
        <f t="shared" si="40"/>
        <v>83.915099999999981</v>
      </c>
      <c r="N177" s="107">
        <f t="shared" si="40"/>
        <v>0</v>
      </c>
      <c r="O177" s="107">
        <f t="shared" si="40"/>
        <v>291.63779166666666</v>
      </c>
      <c r="P177" s="90"/>
    </row>
    <row r="178" spans="2:17" x14ac:dyDescent="0.25">
      <c r="B178" s="25"/>
      <c r="C178" s="25"/>
      <c r="D178" s="25"/>
      <c r="E178" s="25"/>
      <c r="F178" s="25"/>
      <c r="G178" s="90"/>
      <c r="H178" s="104"/>
      <c r="I178" s="104"/>
      <c r="J178" s="104"/>
      <c r="K178" s="104"/>
      <c r="L178" s="104"/>
      <c r="M178" s="104"/>
      <c r="N178" s="104"/>
      <c r="O178" s="104"/>
    </row>
    <row r="179" spans="2:17" x14ac:dyDescent="0.25">
      <c r="B179" s="25"/>
      <c r="C179" s="25"/>
      <c r="D179" s="25"/>
      <c r="E179" s="25"/>
      <c r="F179" s="25"/>
      <c r="G179" s="90"/>
      <c r="H179" s="105" t="s">
        <v>64</v>
      </c>
      <c r="I179" s="105" t="s">
        <v>64</v>
      </c>
      <c r="J179" s="105"/>
      <c r="K179" s="105"/>
      <c r="L179" s="105"/>
      <c r="M179" s="105"/>
      <c r="N179" s="105"/>
      <c r="O179" s="105"/>
    </row>
    <row r="180" spans="2:17" x14ac:dyDescent="0.25">
      <c r="B180" s="26"/>
      <c r="C180" s="26"/>
      <c r="D180" s="26"/>
      <c r="E180" s="26"/>
      <c r="F180" s="26"/>
      <c r="G180" s="90"/>
      <c r="H180" s="105" t="s">
        <v>65</v>
      </c>
      <c r="I180" s="105" t="s">
        <v>66</v>
      </c>
      <c r="J180" s="106" t="s">
        <v>67</v>
      </c>
      <c r="K180" s="106" t="s">
        <v>68</v>
      </c>
      <c r="L180" s="106" t="s">
        <v>45</v>
      </c>
      <c r="M180" s="106" t="s">
        <v>69</v>
      </c>
      <c r="N180" s="106" t="s">
        <v>47</v>
      </c>
      <c r="O180" s="106" t="s">
        <v>138</v>
      </c>
      <c r="Q180" s="58"/>
    </row>
    <row r="181" spans="2:17" x14ac:dyDescent="0.25">
      <c r="B181" s="25" t="s">
        <v>294</v>
      </c>
      <c r="C181" s="25"/>
      <c r="D181" s="25"/>
      <c r="E181" s="25"/>
      <c r="F181" s="25"/>
      <c r="G181" s="90" t="s">
        <v>62</v>
      </c>
      <c r="H181" s="107">
        <f>H177</f>
        <v>429.89123333333339</v>
      </c>
      <c r="I181" s="107">
        <f>I177</f>
        <v>74.883333333333326</v>
      </c>
      <c r="J181" s="107">
        <f>J33+J177</f>
        <v>110</v>
      </c>
      <c r="K181" s="107">
        <f>J49+K177</f>
        <v>2091.8375416666663</v>
      </c>
      <c r="L181" s="107">
        <f>J50+L177</f>
        <v>21</v>
      </c>
      <c r="M181" s="107">
        <f>J51+M177</f>
        <v>83.915099999999981</v>
      </c>
      <c r="N181" s="107">
        <f>J52+N177</f>
        <v>0</v>
      </c>
      <c r="O181" s="107">
        <f>J59+O177</f>
        <v>1988.4727916666666</v>
      </c>
      <c r="Q181" s="58"/>
    </row>
    <row r="182" spans="2:17" x14ac:dyDescent="0.25">
      <c r="G182" s="90"/>
      <c r="H182" s="90"/>
      <c r="I182" s="90"/>
      <c r="J182" s="90"/>
      <c r="K182" s="90"/>
      <c r="L182" s="90"/>
      <c r="M182" s="90"/>
      <c r="N182" s="90"/>
      <c r="O182" s="90"/>
      <c r="Q182" s="58"/>
    </row>
  </sheetData>
  <mergeCells count="2">
    <mergeCell ref="N2:P2"/>
    <mergeCell ref="E3:F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Start</vt:lpstr>
      <vt:lpstr>Overview</vt:lpstr>
      <vt:lpstr>VC Map</vt:lpstr>
      <vt:lpstr>Overall Sums</vt:lpstr>
      <vt:lpstr>Overall Graph</vt:lpstr>
      <vt:lpstr>Sum Production</vt:lpstr>
      <vt:lpstr>Sum Processing</vt:lpstr>
      <vt:lpstr>Sum Trade</vt:lpstr>
      <vt:lpstr>Production</vt:lpstr>
      <vt:lpstr>Proc Gari</vt:lpstr>
      <vt:lpstr>Trade WS</vt:lpstr>
      <vt:lpstr>Break-down of IGS and Deprec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</dc:creator>
  <cp:lastModifiedBy>Uli</cp:lastModifiedBy>
  <cp:lastPrinted>2017-03-23T16:34:33Z</cp:lastPrinted>
  <dcterms:created xsi:type="dcterms:W3CDTF">2016-06-13T14:08:26Z</dcterms:created>
  <dcterms:modified xsi:type="dcterms:W3CDTF">2017-03-31T13:25:46Z</dcterms:modified>
</cp:coreProperties>
</file>